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Computer Learning Lab\Classes\Excel 2019\Part 3\"/>
    </mc:Choice>
  </mc:AlternateContent>
  <bookViews>
    <workbookView xWindow="0" yWindow="0" windowWidth="24000" windowHeight="9735" activeTab="2"/>
  </bookViews>
  <sheets>
    <sheet name="Big Table" sheetId="3" r:id="rId1"/>
    <sheet name="Dates" sheetId="1" r:id="rId2"/>
    <sheet name="Workspace" sheetId="5" r:id="rId3"/>
    <sheet name="Staff" sheetId="2" r:id="rId4"/>
    <sheet name="Discounts" sheetId="4" r:id="rId5"/>
    <sheet name="Operations Order" sheetId="6" r:id="rId6"/>
    <sheet name="Cell References" sheetId="7" r:id="rId7"/>
    <sheet name="Absolute References" sheetId="8" r:id="rId8"/>
    <sheet name="Function Examples" sheetId="9" r:id="rId9"/>
  </sheets>
  <definedNames>
    <definedName name="Slicer_City">#N/A</definedName>
    <definedName name="Slicer_Direct_Deposit?">#N/A</definedName>
  </definedNames>
  <calcPr calcId="152511"/>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0"/>
        <x14:slicerCache r:id="rId11"/>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 i="4" l="1"/>
  <c r="G3" i="4"/>
  <c r="G4" i="4"/>
  <c r="G5" i="4"/>
  <c r="E18" i="9" l="1"/>
  <c r="D27" i="9" l="1"/>
  <c r="D26" i="9"/>
  <c r="D25" i="9"/>
  <c r="E27" i="9"/>
  <c r="E26" i="9"/>
  <c r="E25" i="9"/>
  <c r="D37" i="9"/>
  <c r="D36" i="9"/>
  <c r="D35" i="9"/>
  <c r="D34" i="9"/>
  <c r="D33" i="9"/>
  <c r="D32" i="9"/>
  <c r="D31" i="9"/>
  <c r="D30" i="9"/>
  <c r="E31" i="9"/>
  <c r="E33" i="9"/>
  <c r="E32" i="9"/>
  <c r="E30" i="9"/>
  <c r="E34" i="9"/>
  <c r="E35" i="9"/>
  <c r="E36" i="9"/>
  <c r="E37" i="9"/>
  <c r="D14" i="9"/>
  <c r="D22" i="9"/>
  <c r="E22" i="9"/>
  <c r="D17" i="9"/>
  <c r="D18" i="9"/>
  <c r="D13" i="9"/>
  <c r="D12" i="9"/>
  <c r="D11" i="9"/>
  <c r="E13" i="9"/>
  <c r="E14" i="9" s="1"/>
  <c r="E12" i="9"/>
  <c r="E11" i="9"/>
  <c r="D7" i="9"/>
  <c r="D6" i="9"/>
  <c r="D5" i="9"/>
  <c r="D4" i="9"/>
  <c r="D3" i="9"/>
  <c r="D8" i="9"/>
  <c r="E8" i="9"/>
  <c r="E17" i="9" s="1"/>
  <c r="E7" i="9"/>
  <c r="E6" i="9"/>
  <c r="E5" i="9"/>
  <c r="E4" i="9"/>
  <c r="E3" i="9"/>
  <c r="E11" i="8"/>
  <c r="D11" i="8"/>
  <c r="C11" i="8"/>
  <c r="E10" i="8"/>
  <c r="D10" i="8"/>
  <c r="C10" i="8"/>
  <c r="E1" i="8"/>
  <c r="D1" i="8"/>
  <c r="C1" i="8"/>
  <c r="C3" i="8"/>
  <c r="D3" i="8"/>
  <c r="E3" i="8"/>
  <c r="C4" i="8"/>
  <c r="D4" i="8"/>
  <c r="E4" i="8"/>
  <c r="C5" i="8"/>
  <c r="D5" i="8"/>
  <c r="E5" i="8"/>
  <c r="C6" i="8"/>
  <c r="D6" i="8"/>
  <c r="E6" i="8"/>
  <c r="C7" i="8"/>
  <c r="D7" i="8"/>
  <c r="E7" i="8"/>
  <c r="E2" i="8"/>
  <c r="D2" i="8"/>
  <c r="C2" i="8"/>
  <c r="C7" i="7"/>
  <c r="C6" i="7"/>
  <c r="C5" i="7"/>
  <c r="C4" i="7"/>
  <c r="B7" i="7"/>
  <c r="B6" i="7"/>
  <c r="B5" i="7"/>
  <c r="B4" i="7"/>
  <c r="B3" i="7"/>
  <c r="B2" i="7"/>
  <c r="C3" i="7"/>
  <c r="C2" i="7"/>
  <c r="D10" i="6"/>
  <c r="D8" i="6"/>
  <c r="D9" i="6"/>
  <c r="E10" i="6"/>
  <c r="E9" i="6"/>
  <c r="E8" i="6"/>
  <c r="D6" i="6"/>
  <c r="D5" i="6"/>
  <c r="E5" i="6"/>
  <c r="E6" i="6"/>
  <c r="D3" i="6"/>
  <c r="D2" i="6"/>
  <c r="E2" i="6"/>
  <c r="E3" i="6"/>
  <c r="A9" i="6"/>
  <c r="A8" i="6"/>
  <c r="B8" i="6"/>
  <c r="B9" i="6"/>
  <c r="A6" i="6"/>
  <c r="A5" i="6"/>
  <c r="B6" i="6"/>
  <c r="B5" i="6"/>
  <c r="A3" i="6"/>
  <c r="A2" i="6"/>
  <c r="B2" i="6"/>
  <c r="B3" i="6"/>
  <c r="D20" i="2"/>
  <c r="D21" i="2"/>
  <c r="D22" i="2"/>
  <c r="D23" i="2"/>
  <c r="D24" i="2"/>
  <c r="E22" i="2"/>
  <c r="E23" i="2"/>
  <c r="E24" i="2"/>
  <c r="E21" i="2"/>
  <c r="E20" i="2"/>
  <c r="C20" i="2"/>
  <c r="D15" i="2"/>
  <c r="B13" i="4"/>
  <c r="F7" i="4" l="1"/>
  <c r="C2" i="2"/>
  <c r="C3" i="2"/>
  <c r="C4" i="2"/>
  <c r="E4" i="2" s="1"/>
  <c r="C5" i="2"/>
  <c r="E5" i="2" s="1"/>
  <c r="C6" i="2"/>
  <c r="E6" i="2" s="1"/>
  <c r="C7" i="2"/>
  <c r="C8" i="2"/>
  <c r="C9" i="2"/>
  <c r="C10" i="2"/>
  <c r="E10" i="2" s="1"/>
  <c r="C11" i="2"/>
  <c r="E11" i="2" s="1"/>
  <c r="E7" i="2"/>
  <c r="E8" i="2"/>
  <c r="E9" i="2"/>
  <c r="E2" i="2"/>
  <c r="E3" i="2"/>
  <c r="C15" i="2"/>
  <c r="C21" i="2" l="1"/>
  <c r="C23" i="2"/>
  <c r="C17" i="2"/>
  <c r="C22" i="2"/>
  <c r="C24" i="2"/>
  <c r="D16" i="2"/>
  <c r="D17" i="2"/>
  <c r="C16" i="2"/>
  <c r="F8" i="4"/>
  <c r="F9" i="4" s="1"/>
  <c r="F10" i="4" s="1"/>
  <c r="F11" i="4" s="1"/>
  <c r="T121" i="3"/>
  <c r="G121" i="3"/>
  <c r="B121" i="3"/>
  <c r="I120" i="3"/>
  <c r="J120" i="3" s="1"/>
  <c r="H120" i="3"/>
  <c r="D120" i="3"/>
  <c r="F120" i="3" s="1"/>
  <c r="I119" i="3"/>
  <c r="J119" i="3" s="1"/>
  <c r="H119" i="3"/>
  <c r="D119" i="3"/>
  <c r="F119" i="3" s="1"/>
  <c r="I118" i="3"/>
  <c r="J118" i="3" s="1"/>
  <c r="H118" i="3"/>
  <c r="D118" i="3"/>
  <c r="F118" i="3" s="1"/>
  <c r="I117" i="3"/>
  <c r="J117" i="3" s="1"/>
  <c r="H117" i="3"/>
  <c r="D117" i="3"/>
  <c r="F117" i="3" s="1"/>
  <c r="I116" i="3"/>
  <c r="J116" i="3" s="1"/>
  <c r="H116" i="3"/>
  <c r="D116" i="3"/>
  <c r="F116" i="3" s="1"/>
  <c r="I115" i="3"/>
  <c r="J115" i="3" s="1"/>
  <c r="H115" i="3"/>
  <c r="D115" i="3"/>
  <c r="F115" i="3" s="1"/>
  <c r="I114" i="3"/>
  <c r="J114" i="3" s="1"/>
  <c r="H114" i="3"/>
  <c r="D114" i="3"/>
  <c r="F114" i="3" s="1"/>
  <c r="I113" i="3"/>
  <c r="J113" i="3" s="1"/>
  <c r="H113" i="3"/>
  <c r="D113" i="3"/>
  <c r="F113" i="3" s="1"/>
  <c r="I112" i="3"/>
  <c r="J112" i="3" s="1"/>
  <c r="H112" i="3"/>
  <c r="D112" i="3"/>
  <c r="F112" i="3" s="1"/>
  <c r="I111" i="3"/>
  <c r="J111" i="3" s="1"/>
  <c r="H111" i="3"/>
  <c r="D111" i="3"/>
  <c r="F111" i="3" s="1"/>
  <c r="I110" i="3"/>
  <c r="J110" i="3" s="1"/>
  <c r="H110" i="3"/>
  <c r="D110" i="3"/>
  <c r="F110" i="3" s="1"/>
  <c r="I109" i="3"/>
  <c r="J109" i="3" s="1"/>
  <c r="H109" i="3"/>
  <c r="D109" i="3"/>
  <c r="F109" i="3" s="1"/>
  <c r="I108" i="3"/>
  <c r="J108" i="3" s="1"/>
  <c r="H108" i="3"/>
  <c r="D108" i="3"/>
  <c r="F108" i="3" s="1"/>
  <c r="I107" i="3"/>
  <c r="J107" i="3" s="1"/>
  <c r="H107" i="3"/>
  <c r="D107" i="3"/>
  <c r="F107" i="3" s="1"/>
  <c r="I106" i="3"/>
  <c r="J106" i="3" s="1"/>
  <c r="H106" i="3"/>
  <c r="D106" i="3"/>
  <c r="F106" i="3" s="1"/>
  <c r="I105" i="3"/>
  <c r="J105" i="3" s="1"/>
  <c r="H105" i="3"/>
  <c r="D105" i="3"/>
  <c r="F105" i="3" s="1"/>
  <c r="I104" i="3"/>
  <c r="J104" i="3" s="1"/>
  <c r="H104" i="3"/>
  <c r="D104" i="3"/>
  <c r="F104" i="3" s="1"/>
  <c r="I103" i="3"/>
  <c r="J103" i="3" s="1"/>
  <c r="H103" i="3"/>
  <c r="D103" i="3"/>
  <c r="F103" i="3" s="1"/>
  <c r="I102" i="3"/>
  <c r="J102" i="3" s="1"/>
  <c r="H102" i="3"/>
  <c r="D102" i="3"/>
  <c r="F102" i="3" s="1"/>
  <c r="I101" i="3"/>
  <c r="J101" i="3" s="1"/>
  <c r="H101" i="3"/>
  <c r="D101" i="3"/>
  <c r="F101" i="3" s="1"/>
  <c r="I100" i="3"/>
  <c r="J100" i="3" s="1"/>
  <c r="H100" i="3"/>
  <c r="D100" i="3"/>
  <c r="F100" i="3" s="1"/>
  <c r="I99" i="3"/>
  <c r="J99" i="3" s="1"/>
  <c r="H99" i="3"/>
  <c r="D99" i="3"/>
  <c r="F99" i="3" s="1"/>
  <c r="I98" i="3"/>
  <c r="J98" i="3" s="1"/>
  <c r="H98" i="3"/>
  <c r="D98" i="3"/>
  <c r="F98" i="3" s="1"/>
  <c r="I97" i="3"/>
  <c r="J97" i="3" s="1"/>
  <c r="H97" i="3"/>
  <c r="D97" i="3"/>
  <c r="F97" i="3" s="1"/>
  <c r="I96" i="3"/>
  <c r="J96" i="3" s="1"/>
  <c r="H96" i="3"/>
  <c r="D96" i="3"/>
  <c r="F96" i="3" s="1"/>
  <c r="I95" i="3"/>
  <c r="J95" i="3" s="1"/>
  <c r="H95" i="3"/>
  <c r="D95" i="3"/>
  <c r="F95" i="3" s="1"/>
  <c r="I94" i="3"/>
  <c r="J94" i="3" s="1"/>
  <c r="H94" i="3"/>
  <c r="D94" i="3"/>
  <c r="F94" i="3" s="1"/>
  <c r="I93" i="3"/>
  <c r="J93" i="3" s="1"/>
  <c r="H93" i="3"/>
  <c r="D93" i="3"/>
  <c r="F93" i="3" s="1"/>
  <c r="I92" i="3"/>
  <c r="J92" i="3" s="1"/>
  <c r="H92" i="3"/>
  <c r="D92" i="3"/>
  <c r="F92" i="3" s="1"/>
  <c r="I91" i="3"/>
  <c r="J91" i="3" s="1"/>
  <c r="H91" i="3"/>
  <c r="D91" i="3"/>
  <c r="F91" i="3" s="1"/>
  <c r="I90" i="3"/>
  <c r="J90" i="3" s="1"/>
  <c r="H90" i="3"/>
  <c r="D90" i="3"/>
  <c r="F90" i="3" s="1"/>
  <c r="I89" i="3"/>
  <c r="J89" i="3" s="1"/>
  <c r="H89" i="3"/>
  <c r="D89" i="3"/>
  <c r="F89" i="3" s="1"/>
  <c r="I88" i="3"/>
  <c r="J88" i="3" s="1"/>
  <c r="H88" i="3"/>
  <c r="D88" i="3"/>
  <c r="F88" i="3" s="1"/>
  <c r="I87" i="3"/>
  <c r="J87" i="3" s="1"/>
  <c r="H87" i="3"/>
  <c r="D87" i="3"/>
  <c r="F87" i="3" s="1"/>
  <c r="I86" i="3"/>
  <c r="J86" i="3" s="1"/>
  <c r="H86" i="3"/>
  <c r="D86" i="3"/>
  <c r="F86" i="3" s="1"/>
  <c r="I85" i="3"/>
  <c r="J85" i="3" s="1"/>
  <c r="H85" i="3"/>
  <c r="D85" i="3"/>
  <c r="F85" i="3" s="1"/>
  <c r="I84" i="3"/>
  <c r="J84" i="3" s="1"/>
  <c r="H84" i="3"/>
  <c r="D84" i="3"/>
  <c r="F84" i="3" s="1"/>
  <c r="I83" i="3"/>
  <c r="J83" i="3" s="1"/>
  <c r="H83" i="3"/>
  <c r="D83" i="3"/>
  <c r="F83" i="3" s="1"/>
  <c r="I82" i="3"/>
  <c r="J82" i="3" s="1"/>
  <c r="H82" i="3"/>
  <c r="D82" i="3"/>
  <c r="F82" i="3" s="1"/>
  <c r="I81" i="3"/>
  <c r="J81" i="3" s="1"/>
  <c r="H81" i="3"/>
  <c r="D81" i="3"/>
  <c r="F81" i="3" s="1"/>
  <c r="I80" i="3"/>
  <c r="J80" i="3" s="1"/>
  <c r="H80" i="3"/>
  <c r="D80" i="3"/>
  <c r="F80" i="3" s="1"/>
  <c r="I79" i="3"/>
  <c r="J79" i="3" s="1"/>
  <c r="H79" i="3"/>
  <c r="D79" i="3"/>
  <c r="F79" i="3" s="1"/>
  <c r="I78" i="3"/>
  <c r="J78" i="3" s="1"/>
  <c r="H78" i="3"/>
  <c r="D78" i="3"/>
  <c r="F78" i="3" s="1"/>
  <c r="I77" i="3"/>
  <c r="J77" i="3" s="1"/>
  <c r="H77" i="3"/>
  <c r="D77" i="3"/>
  <c r="F77" i="3" s="1"/>
  <c r="I76" i="3"/>
  <c r="J76" i="3" s="1"/>
  <c r="H76" i="3"/>
  <c r="D76" i="3"/>
  <c r="F76" i="3" s="1"/>
  <c r="I75" i="3"/>
  <c r="J75" i="3" s="1"/>
  <c r="H75" i="3"/>
  <c r="D75" i="3"/>
  <c r="F75" i="3" s="1"/>
  <c r="I74" i="3"/>
  <c r="J74" i="3" s="1"/>
  <c r="H74" i="3"/>
  <c r="D74" i="3"/>
  <c r="F74" i="3" s="1"/>
  <c r="I73" i="3"/>
  <c r="J73" i="3" s="1"/>
  <c r="H73" i="3"/>
  <c r="D73" i="3"/>
  <c r="F73" i="3" s="1"/>
  <c r="I72" i="3"/>
  <c r="J72" i="3" s="1"/>
  <c r="H72" i="3"/>
  <c r="D72" i="3"/>
  <c r="F72" i="3" s="1"/>
  <c r="I71" i="3"/>
  <c r="J71" i="3" s="1"/>
  <c r="H71" i="3"/>
  <c r="D71" i="3"/>
  <c r="F71" i="3" s="1"/>
  <c r="I70" i="3"/>
  <c r="J70" i="3" s="1"/>
  <c r="H70" i="3"/>
  <c r="D70" i="3"/>
  <c r="F70" i="3" s="1"/>
  <c r="I69" i="3"/>
  <c r="J69" i="3" s="1"/>
  <c r="H69" i="3"/>
  <c r="D69" i="3"/>
  <c r="F69" i="3" s="1"/>
  <c r="I68" i="3"/>
  <c r="J68" i="3" s="1"/>
  <c r="H68" i="3"/>
  <c r="D68" i="3"/>
  <c r="F68" i="3" s="1"/>
  <c r="I67" i="3"/>
  <c r="J67" i="3" s="1"/>
  <c r="H67" i="3"/>
  <c r="D67" i="3"/>
  <c r="F67" i="3" s="1"/>
  <c r="I66" i="3"/>
  <c r="J66" i="3" s="1"/>
  <c r="H66" i="3"/>
  <c r="D66" i="3"/>
  <c r="F66" i="3" s="1"/>
  <c r="I65" i="3"/>
  <c r="J65" i="3" s="1"/>
  <c r="H65" i="3"/>
  <c r="D65" i="3"/>
  <c r="F65" i="3" s="1"/>
  <c r="I64" i="3"/>
  <c r="J64" i="3" s="1"/>
  <c r="H64" i="3"/>
  <c r="D64" i="3"/>
  <c r="F64" i="3" s="1"/>
  <c r="I63" i="3"/>
  <c r="J63" i="3" s="1"/>
  <c r="H63" i="3"/>
  <c r="D63" i="3"/>
  <c r="F63" i="3" s="1"/>
  <c r="I62" i="3"/>
  <c r="J62" i="3" s="1"/>
  <c r="H62" i="3"/>
  <c r="D62" i="3"/>
  <c r="F62" i="3" s="1"/>
  <c r="I61" i="3"/>
  <c r="J61" i="3" s="1"/>
  <c r="H61" i="3"/>
  <c r="D61" i="3"/>
  <c r="F61" i="3" s="1"/>
  <c r="I60" i="3"/>
  <c r="J60" i="3" s="1"/>
  <c r="H60" i="3"/>
  <c r="D60" i="3"/>
  <c r="F60" i="3" s="1"/>
  <c r="I59" i="3"/>
  <c r="J59" i="3" s="1"/>
  <c r="H59" i="3"/>
  <c r="D59" i="3"/>
  <c r="F59" i="3" s="1"/>
  <c r="I58" i="3"/>
  <c r="J58" i="3" s="1"/>
  <c r="H58" i="3"/>
  <c r="D58" i="3"/>
  <c r="F58" i="3" s="1"/>
  <c r="I57" i="3"/>
  <c r="J57" i="3" s="1"/>
  <c r="H57" i="3"/>
  <c r="D57" i="3"/>
  <c r="F57" i="3" s="1"/>
  <c r="I56" i="3"/>
  <c r="J56" i="3" s="1"/>
  <c r="H56" i="3"/>
  <c r="D56" i="3"/>
  <c r="F56" i="3" s="1"/>
  <c r="I55" i="3"/>
  <c r="J55" i="3" s="1"/>
  <c r="H55" i="3"/>
  <c r="D55" i="3"/>
  <c r="F55" i="3" s="1"/>
  <c r="I54" i="3"/>
  <c r="J54" i="3" s="1"/>
  <c r="H54" i="3"/>
  <c r="D54" i="3"/>
  <c r="F54" i="3" s="1"/>
  <c r="I53" i="3"/>
  <c r="J53" i="3" s="1"/>
  <c r="H53" i="3"/>
  <c r="D53" i="3"/>
  <c r="F53" i="3" s="1"/>
  <c r="I52" i="3"/>
  <c r="J52" i="3" s="1"/>
  <c r="H52" i="3"/>
  <c r="D52" i="3"/>
  <c r="F52" i="3" s="1"/>
  <c r="I51" i="3"/>
  <c r="J51" i="3" s="1"/>
  <c r="H51" i="3"/>
  <c r="D51" i="3"/>
  <c r="F51" i="3" s="1"/>
  <c r="I50" i="3"/>
  <c r="J50" i="3" s="1"/>
  <c r="H50" i="3"/>
  <c r="D50" i="3"/>
  <c r="F50" i="3" s="1"/>
  <c r="I49" i="3"/>
  <c r="J49" i="3" s="1"/>
  <c r="H49" i="3"/>
  <c r="D49" i="3"/>
  <c r="F49" i="3" s="1"/>
  <c r="I48" i="3"/>
  <c r="J48" i="3" s="1"/>
  <c r="H48" i="3"/>
  <c r="D48" i="3"/>
  <c r="F48" i="3" s="1"/>
  <c r="I47" i="3"/>
  <c r="J47" i="3" s="1"/>
  <c r="H47" i="3"/>
  <c r="D47" i="3"/>
  <c r="F47" i="3" s="1"/>
  <c r="I46" i="3"/>
  <c r="J46" i="3" s="1"/>
  <c r="H46" i="3"/>
  <c r="D46" i="3"/>
  <c r="F46" i="3" s="1"/>
  <c r="I45" i="3"/>
  <c r="J45" i="3" s="1"/>
  <c r="H45" i="3"/>
  <c r="D45" i="3"/>
  <c r="F45" i="3" s="1"/>
  <c r="I44" i="3"/>
  <c r="J44" i="3" s="1"/>
  <c r="H44" i="3"/>
  <c r="D44" i="3"/>
  <c r="F44" i="3" s="1"/>
  <c r="I43" i="3"/>
  <c r="J43" i="3" s="1"/>
  <c r="H43" i="3"/>
  <c r="D43" i="3"/>
  <c r="F43" i="3" s="1"/>
  <c r="I42" i="3"/>
  <c r="J42" i="3" s="1"/>
  <c r="H42" i="3"/>
  <c r="D42" i="3"/>
  <c r="F42" i="3" s="1"/>
  <c r="I41" i="3"/>
  <c r="J41" i="3" s="1"/>
  <c r="H41" i="3"/>
  <c r="D41" i="3"/>
  <c r="F41" i="3" s="1"/>
  <c r="I40" i="3"/>
  <c r="J40" i="3" s="1"/>
  <c r="H40" i="3"/>
  <c r="D40" i="3"/>
  <c r="F40" i="3" s="1"/>
  <c r="I39" i="3"/>
  <c r="J39" i="3" s="1"/>
  <c r="K39" i="3" s="1"/>
  <c r="H39" i="3"/>
  <c r="D39" i="3"/>
  <c r="F39" i="3" s="1"/>
  <c r="I38" i="3"/>
  <c r="J38" i="3" s="1"/>
  <c r="H38" i="3"/>
  <c r="D38" i="3"/>
  <c r="F38" i="3" s="1"/>
  <c r="I37" i="3"/>
  <c r="J37" i="3" s="1"/>
  <c r="H37" i="3"/>
  <c r="D37" i="3"/>
  <c r="F37" i="3" s="1"/>
  <c r="I36" i="3"/>
  <c r="J36" i="3" s="1"/>
  <c r="H36" i="3"/>
  <c r="D36" i="3"/>
  <c r="F36" i="3" s="1"/>
  <c r="I35" i="3"/>
  <c r="J35" i="3" s="1"/>
  <c r="H35" i="3"/>
  <c r="D35" i="3"/>
  <c r="F35" i="3" s="1"/>
  <c r="I34" i="3"/>
  <c r="J34" i="3" s="1"/>
  <c r="H34" i="3"/>
  <c r="D34" i="3"/>
  <c r="F34" i="3" s="1"/>
  <c r="I33" i="3"/>
  <c r="J33" i="3" s="1"/>
  <c r="H33" i="3"/>
  <c r="D33" i="3"/>
  <c r="F33" i="3" s="1"/>
  <c r="I32" i="3"/>
  <c r="J32" i="3" s="1"/>
  <c r="H32" i="3"/>
  <c r="D32" i="3"/>
  <c r="F32" i="3" s="1"/>
  <c r="I31" i="3"/>
  <c r="J31" i="3" s="1"/>
  <c r="H31" i="3"/>
  <c r="D31" i="3"/>
  <c r="F31" i="3" s="1"/>
  <c r="I30" i="3"/>
  <c r="J30" i="3" s="1"/>
  <c r="H30" i="3"/>
  <c r="D30" i="3"/>
  <c r="F30" i="3" s="1"/>
  <c r="I29" i="3"/>
  <c r="J29" i="3" s="1"/>
  <c r="H29" i="3"/>
  <c r="D29" i="3"/>
  <c r="F29" i="3" s="1"/>
  <c r="I28" i="3"/>
  <c r="J28" i="3" s="1"/>
  <c r="H28" i="3"/>
  <c r="D28" i="3"/>
  <c r="F28" i="3" s="1"/>
  <c r="I27" i="3"/>
  <c r="J27" i="3" s="1"/>
  <c r="H27" i="3"/>
  <c r="D27" i="3"/>
  <c r="F27" i="3" s="1"/>
  <c r="I26" i="3"/>
  <c r="J26" i="3" s="1"/>
  <c r="H26" i="3"/>
  <c r="D26" i="3"/>
  <c r="F26" i="3" s="1"/>
  <c r="I25" i="3"/>
  <c r="J25" i="3" s="1"/>
  <c r="H25" i="3"/>
  <c r="D25" i="3"/>
  <c r="F25" i="3" s="1"/>
  <c r="I24" i="3"/>
  <c r="J24" i="3" s="1"/>
  <c r="H24" i="3"/>
  <c r="D24" i="3"/>
  <c r="F24" i="3" s="1"/>
  <c r="I23" i="3"/>
  <c r="J23" i="3" s="1"/>
  <c r="H23" i="3"/>
  <c r="D23" i="3"/>
  <c r="F23" i="3" s="1"/>
  <c r="I22" i="3"/>
  <c r="J22" i="3" s="1"/>
  <c r="H22" i="3"/>
  <c r="D22" i="3"/>
  <c r="F22" i="3" s="1"/>
  <c r="I21" i="3"/>
  <c r="J21" i="3" s="1"/>
  <c r="H21" i="3"/>
  <c r="D21" i="3"/>
  <c r="F21" i="3" s="1"/>
  <c r="I20" i="3"/>
  <c r="J20" i="3" s="1"/>
  <c r="H20" i="3"/>
  <c r="D20" i="3"/>
  <c r="F20" i="3" s="1"/>
  <c r="I19" i="3"/>
  <c r="J19" i="3" s="1"/>
  <c r="H19" i="3"/>
  <c r="D19" i="3"/>
  <c r="F19" i="3" s="1"/>
  <c r="I18" i="3"/>
  <c r="J18" i="3" s="1"/>
  <c r="H18" i="3"/>
  <c r="D18" i="3"/>
  <c r="F18" i="3" s="1"/>
  <c r="I17" i="3"/>
  <c r="J17" i="3" s="1"/>
  <c r="H17" i="3"/>
  <c r="D17" i="3"/>
  <c r="F17" i="3" s="1"/>
  <c r="I16" i="3"/>
  <c r="J16" i="3" s="1"/>
  <c r="H16" i="3"/>
  <c r="D16" i="3"/>
  <c r="F16" i="3" s="1"/>
  <c r="I15" i="3"/>
  <c r="J15" i="3" s="1"/>
  <c r="H15" i="3"/>
  <c r="D15" i="3"/>
  <c r="F15" i="3" s="1"/>
  <c r="I14" i="3"/>
  <c r="J14" i="3" s="1"/>
  <c r="H14" i="3"/>
  <c r="D14" i="3"/>
  <c r="F14" i="3" s="1"/>
  <c r="I13" i="3"/>
  <c r="J13" i="3" s="1"/>
  <c r="H13" i="3"/>
  <c r="D13" i="3"/>
  <c r="F13" i="3" s="1"/>
  <c r="I12" i="3"/>
  <c r="J12" i="3" s="1"/>
  <c r="H12" i="3"/>
  <c r="D12" i="3"/>
  <c r="F12" i="3" s="1"/>
  <c r="I11" i="3"/>
  <c r="J11" i="3" s="1"/>
  <c r="H11" i="3"/>
  <c r="D11" i="3"/>
  <c r="F11" i="3" s="1"/>
  <c r="I10" i="3"/>
  <c r="J10" i="3" s="1"/>
  <c r="H10" i="3"/>
  <c r="D10" i="3"/>
  <c r="F10" i="3" s="1"/>
  <c r="I9" i="3"/>
  <c r="J9" i="3" s="1"/>
  <c r="H9" i="3"/>
  <c r="D9" i="3"/>
  <c r="F9" i="3" s="1"/>
  <c r="I8" i="3"/>
  <c r="J8" i="3" s="1"/>
  <c r="H8" i="3"/>
  <c r="D8" i="3"/>
  <c r="F8" i="3" s="1"/>
  <c r="I7" i="3"/>
  <c r="J7" i="3" s="1"/>
  <c r="H7" i="3"/>
  <c r="D7" i="3"/>
  <c r="F7" i="3" s="1"/>
  <c r="I6" i="3"/>
  <c r="J6" i="3" s="1"/>
  <c r="H6" i="3"/>
  <c r="D6" i="3"/>
  <c r="F6" i="3" s="1"/>
  <c r="I5" i="3"/>
  <c r="J5" i="3" s="1"/>
  <c r="H5" i="3"/>
  <c r="D5" i="3"/>
  <c r="F5" i="3" s="1"/>
  <c r="I4" i="3"/>
  <c r="J4" i="3" s="1"/>
  <c r="H4" i="3"/>
  <c r="D4" i="3"/>
  <c r="F4" i="3" s="1"/>
  <c r="I3" i="3"/>
  <c r="J3" i="3" s="1"/>
  <c r="H3" i="3"/>
  <c r="D3" i="3"/>
  <c r="F3" i="3" s="1"/>
  <c r="I2" i="3"/>
  <c r="J2" i="3" s="1"/>
  <c r="H2" i="3"/>
  <c r="D2" i="3"/>
  <c r="F2" i="3" s="1"/>
  <c r="K116" i="3" l="1"/>
  <c r="K120" i="3"/>
  <c r="K19" i="3"/>
  <c r="K103" i="3"/>
  <c r="K5" i="3"/>
  <c r="K29" i="3"/>
  <c r="K65" i="3"/>
  <c r="K69" i="3"/>
  <c r="K73" i="3"/>
  <c r="K77" i="3"/>
  <c r="K82" i="3"/>
  <c r="K86" i="3"/>
  <c r="K4" i="3"/>
  <c r="K52" i="3"/>
  <c r="K56" i="3"/>
  <c r="K60" i="3"/>
  <c r="K20" i="3"/>
  <c r="K3" i="3"/>
  <c r="K17" i="3"/>
  <c r="K27" i="3"/>
  <c r="K55" i="3"/>
  <c r="K59" i="3"/>
  <c r="K68" i="3"/>
  <c r="K81" i="3"/>
  <c r="K93" i="3"/>
  <c r="K98" i="3"/>
  <c r="K119" i="3"/>
  <c r="K11" i="3"/>
  <c r="K12" i="3"/>
  <c r="K25" i="3"/>
  <c r="K26" i="3"/>
  <c r="K37" i="3"/>
  <c r="K41" i="3"/>
  <c r="K45" i="3"/>
  <c r="K50" i="3"/>
  <c r="K54" i="3"/>
  <c r="K71" i="3"/>
  <c r="K84" i="3"/>
  <c r="K88" i="3"/>
  <c r="K92" i="3"/>
  <c r="K97" i="3"/>
  <c r="K101" i="3"/>
  <c r="K105" i="3"/>
  <c r="K109" i="3"/>
  <c r="K114" i="3"/>
  <c r="K118" i="3"/>
  <c r="K34" i="3"/>
  <c r="K13" i="3"/>
  <c r="K18" i="3"/>
  <c r="K28" i="3"/>
  <c r="K38" i="3"/>
  <c r="K72" i="3"/>
  <c r="K76" i="3"/>
  <c r="K85" i="3"/>
  <c r="K89" i="3"/>
  <c r="K102" i="3"/>
  <c r="H121" i="3"/>
  <c r="K9" i="3"/>
  <c r="K10" i="3"/>
  <c r="K21" i="3"/>
  <c r="K35" i="3"/>
  <c r="K36" i="3"/>
  <c r="K40" i="3"/>
  <c r="K44" i="3"/>
  <c r="K49" i="3"/>
  <c r="K53" i="3"/>
  <c r="K57" i="3"/>
  <c r="K61" i="3"/>
  <c r="K66" i="3"/>
  <c r="K70" i="3"/>
  <c r="K87" i="3"/>
  <c r="K91" i="3"/>
  <c r="K100" i="3"/>
  <c r="K104" i="3"/>
  <c r="K108" i="3"/>
  <c r="K113" i="3"/>
  <c r="K117" i="3"/>
  <c r="K48" i="3"/>
  <c r="K80" i="3"/>
  <c r="K112" i="3"/>
  <c r="K64" i="3"/>
  <c r="K96" i="3"/>
  <c r="K7" i="3"/>
  <c r="K15" i="3"/>
  <c r="K23" i="3"/>
  <c r="K31" i="3"/>
  <c r="J121" i="3"/>
  <c r="K2" i="3"/>
  <c r="K6" i="3"/>
  <c r="K14" i="3"/>
  <c r="K22" i="3"/>
  <c r="K30" i="3"/>
  <c r="F121" i="3"/>
  <c r="K43" i="3"/>
  <c r="K75" i="3"/>
  <c r="K107" i="3"/>
  <c r="K8" i="3"/>
  <c r="K16" i="3"/>
  <c r="K24" i="3"/>
  <c r="K32" i="3"/>
  <c r="K33" i="3"/>
  <c r="K42" i="3"/>
  <c r="K47" i="3"/>
  <c r="K58" i="3"/>
  <c r="K63" i="3"/>
  <c r="K74" i="3"/>
  <c r="K79" i="3"/>
  <c r="K90" i="3"/>
  <c r="K95" i="3"/>
  <c r="K106" i="3"/>
  <c r="K111" i="3"/>
  <c r="K46" i="3"/>
  <c r="K51" i="3"/>
  <c r="K62" i="3"/>
  <c r="K67" i="3"/>
  <c r="K78" i="3"/>
  <c r="K83" i="3"/>
  <c r="K94" i="3"/>
  <c r="K99" i="3"/>
  <c r="K110" i="3"/>
  <c r="K115" i="3"/>
  <c r="K121" i="3" l="1"/>
  <c r="E7" i="1" l="1"/>
  <c r="F7" i="1" s="1"/>
  <c r="G7" i="1" s="1"/>
  <c r="H7" i="1" s="1"/>
  <c r="I7" i="1" s="1"/>
  <c r="J7" i="1" s="1"/>
</calcChain>
</file>

<file path=xl/comments1.xml><?xml version="1.0" encoding="utf-8"?>
<comments xmlns="http://schemas.openxmlformats.org/spreadsheetml/2006/main">
  <authors>
    <author>Thomas Rooney</author>
  </authors>
  <commentList>
    <comment ref="C3" authorId="0" shapeId="0">
      <text>
        <r>
          <rPr>
            <b/>
            <sz val="9"/>
            <color indexed="81"/>
            <rFont val="Tahoma"/>
            <family val="2"/>
          </rPr>
          <t>SUM:</t>
        </r>
        <r>
          <rPr>
            <sz val="9"/>
            <color indexed="81"/>
            <rFont val="Tahoma"/>
            <family val="2"/>
          </rPr>
          <t xml:space="preserve">
Totals all cells within the given range</t>
        </r>
      </text>
    </comment>
    <comment ref="D3" authorId="0" shapeId="0">
      <text>
        <r>
          <rPr>
            <sz val="9"/>
            <color indexed="81"/>
            <rFont val="Tahoma"/>
            <family val="2"/>
          </rPr>
          <t>Function Name ( Range )</t>
        </r>
      </text>
    </comment>
    <comment ref="C4" authorId="0" shapeId="0">
      <text>
        <r>
          <rPr>
            <b/>
            <sz val="9"/>
            <color indexed="81"/>
            <rFont val="Tahoma"/>
            <family val="2"/>
          </rPr>
          <t>AVERAGE:</t>
        </r>
        <r>
          <rPr>
            <sz val="9"/>
            <color indexed="81"/>
            <rFont val="Tahoma"/>
            <family val="2"/>
          </rPr>
          <t xml:space="preserve">
Gives the average of the cells in the range</t>
        </r>
      </text>
    </comment>
    <comment ref="D4" authorId="0" shapeId="0">
      <text>
        <r>
          <rPr>
            <sz val="9"/>
            <color indexed="81"/>
            <rFont val="Tahoma"/>
            <family val="2"/>
          </rPr>
          <t>Function Name ( Range )</t>
        </r>
      </text>
    </comment>
    <comment ref="C5" authorId="0" shapeId="0">
      <text>
        <r>
          <rPr>
            <b/>
            <sz val="9"/>
            <color indexed="81"/>
            <rFont val="Tahoma"/>
            <family val="2"/>
          </rPr>
          <t>COUNT:</t>
        </r>
        <r>
          <rPr>
            <sz val="9"/>
            <color indexed="81"/>
            <rFont val="Tahoma"/>
            <family val="2"/>
          </rPr>
          <t xml:space="preserve">
Counts the number of </t>
        </r>
        <r>
          <rPr>
            <b/>
            <sz val="9"/>
            <color indexed="81"/>
            <rFont val="Tahoma"/>
            <family val="2"/>
          </rPr>
          <t>cells</t>
        </r>
        <r>
          <rPr>
            <sz val="9"/>
            <color indexed="81"/>
            <rFont val="Tahoma"/>
            <family val="2"/>
          </rPr>
          <t xml:space="preserve"> in the given range</t>
        </r>
      </text>
    </comment>
    <comment ref="D5" authorId="0" shapeId="0">
      <text>
        <r>
          <rPr>
            <sz val="9"/>
            <color indexed="81"/>
            <rFont val="Tahoma"/>
            <family val="2"/>
          </rPr>
          <t xml:space="preserve">Function Name ( Range )
</t>
        </r>
      </text>
    </comment>
    <comment ref="C6" authorId="0" shapeId="0">
      <text>
        <r>
          <rPr>
            <b/>
            <sz val="9"/>
            <color indexed="81"/>
            <rFont val="Tahoma"/>
            <family val="2"/>
          </rPr>
          <t>MIN:</t>
        </r>
        <r>
          <rPr>
            <sz val="9"/>
            <color indexed="81"/>
            <rFont val="Tahoma"/>
            <family val="2"/>
          </rPr>
          <t xml:space="preserve">
returns the value of the cell with the lowest value</t>
        </r>
      </text>
    </comment>
    <comment ref="D6" authorId="0" shapeId="0">
      <text>
        <r>
          <rPr>
            <sz val="9"/>
            <color indexed="81"/>
            <rFont val="Tahoma"/>
            <family val="2"/>
          </rPr>
          <t>Function Name ( Range )</t>
        </r>
      </text>
    </comment>
    <comment ref="C7" authorId="0" shapeId="0">
      <text>
        <r>
          <rPr>
            <b/>
            <sz val="9"/>
            <color indexed="81"/>
            <rFont val="Tahoma"/>
            <family val="2"/>
          </rPr>
          <t>MAX</t>
        </r>
        <r>
          <rPr>
            <sz val="9"/>
            <color indexed="81"/>
            <rFont val="Tahoma"/>
            <family val="2"/>
          </rPr>
          <t xml:space="preserve">
Returns the cell value of the cell with the greatest value</t>
        </r>
      </text>
    </comment>
    <comment ref="D7" authorId="0" shapeId="0">
      <text>
        <r>
          <rPr>
            <sz val="9"/>
            <color indexed="81"/>
            <rFont val="Tahoma"/>
            <family val="2"/>
          </rPr>
          <t>Function Name ( Range )</t>
        </r>
      </text>
    </comment>
    <comment ref="C8" authorId="0" shapeId="0">
      <text>
        <r>
          <rPr>
            <b/>
            <sz val="9"/>
            <color indexed="81"/>
            <rFont val="Tahoma"/>
            <family val="2"/>
          </rPr>
          <t xml:space="preserve">Subtotal:
</t>
        </r>
        <r>
          <rPr>
            <sz val="9"/>
            <color indexed="81"/>
            <rFont val="Tahoma"/>
            <family val="2"/>
          </rPr>
          <t>Can perform all of the functions above it, ignoring any other subtotal functions within its range.</t>
        </r>
      </text>
    </comment>
    <comment ref="D8" authorId="0" shapeId="0">
      <text>
        <r>
          <rPr>
            <sz val="9"/>
            <color indexed="81"/>
            <rFont val="Tahoma"/>
            <family val="2"/>
          </rPr>
          <t>Function Name 
( Subtotal type , Range )
1 Average
2 Count
4 Min
5 Max
9 Sum
101 Average (ignore hidden cells)
102 Count (ignore hidden cells)
104 Min (ignore hidden cells)
105 Max (ignore hidden cells)
109 Sum (ignore hidden cells)</t>
        </r>
      </text>
    </comment>
    <comment ref="C11" authorId="0" shapeId="0">
      <text>
        <r>
          <rPr>
            <b/>
            <sz val="9"/>
            <color indexed="81"/>
            <rFont val="Tahoma"/>
            <family val="2"/>
          </rPr>
          <t>TODAY:</t>
        </r>
        <r>
          <rPr>
            <sz val="9"/>
            <color indexed="81"/>
            <rFont val="Tahoma"/>
            <family val="2"/>
          </rPr>
          <t xml:space="preserve">
Returns the current date (this will update automatically as time passes)</t>
        </r>
      </text>
    </comment>
    <comment ref="C12" authorId="0" shapeId="0">
      <text>
        <r>
          <rPr>
            <b/>
            <sz val="9"/>
            <color indexed="81"/>
            <rFont val="Tahoma"/>
            <family val="2"/>
          </rPr>
          <t>NOW:</t>
        </r>
        <r>
          <rPr>
            <sz val="9"/>
            <color indexed="81"/>
            <rFont val="Tahoma"/>
            <family val="2"/>
          </rPr>
          <t xml:space="preserve">
Returns the current date and time to the minute 
(automatically updates each time a calculation is performed in the workbook).</t>
        </r>
      </text>
    </comment>
    <comment ref="C13" authorId="0" shapeId="0">
      <text>
        <r>
          <rPr>
            <b/>
            <sz val="9"/>
            <color indexed="81"/>
            <rFont val="Tahoma"/>
            <family val="2"/>
          </rPr>
          <t>DATE:</t>
        </r>
        <r>
          <rPr>
            <sz val="9"/>
            <color indexed="81"/>
            <rFont val="Tahoma"/>
            <family val="2"/>
          </rPr>
          <t xml:space="preserve">
enter in the Year, Month and Day and the function will format it as a year</t>
        </r>
      </text>
    </comment>
    <comment ref="D13" authorId="0" shapeId="0">
      <text>
        <r>
          <rPr>
            <sz val="9"/>
            <color indexed="81"/>
            <rFont val="Tahoma"/>
            <family val="2"/>
          </rPr>
          <t>Function name 
( Year , Month , Day )</t>
        </r>
      </text>
    </comment>
    <comment ref="C14" authorId="0" shapeId="0">
      <text>
        <r>
          <rPr>
            <b/>
            <sz val="9"/>
            <color indexed="81"/>
            <rFont val="Tahoma"/>
            <family val="2"/>
          </rPr>
          <t xml:space="preserve">DATEDIF:
</t>
        </r>
        <r>
          <rPr>
            <sz val="9"/>
            <color indexed="81"/>
            <rFont val="Tahoma"/>
            <family val="2"/>
          </rPr>
          <t>calculates the difference between two dates and displays the result in months days or years. 
A "Secret" function, Excel will not help you fill this one out as it is a compatibility function from decades ago.</t>
        </r>
      </text>
    </comment>
    <comment ref="D14" authorId="0" shapeId="0">
      <text>
        <r>
          <rPr>
            <sz val="9"/>
            <color indexed="81"/>
            <rFont val="Tahoma"/>
            <family val="2"/>
          </rPr>
          <t xml:space="preserve">Function_name
( Start_date , End_Date , Time Units )
"Y" = Years
"M" = Months
"D" = Days
</t>
        </r>
      </text>
    </comment>
    <comment ref="C17" authorId="0" shapeId="0">
      <text>
        <r>
          <rPr>
            <b/>
            <sz val="9"/>
            <color indexed="81"/>
            <rFont val="Tahoma"/>
            <family val="2"/>
          </rPr>
          <t xml:space="preserve">VLOOKUP:
</t>
        </r>
        <r>
          <rPr>
            <sz val="9"/>
            <color indexed="81"/>
            <rFont val="Tahoma"/>
            <family val="2"/>
          </rPr>
          <t xml:space="preserve">Searches a the first column of a range for a value you give and then returns a value from another column in that same range (you specify which column)
</t>
        </r>
      </text>
    </comment>
    <comment ref="C18" authorId="0" shapeId="0">
      <text>
        <r>
          <rPr>
            <b/>
            <sz val="9"/>
            <color indexed="81"/>
            <rFont val="Tahoma"/>
            <family val="2"/>
          </rPr>
          <t xml:space="preserve">INDEX &amp; MATCH:
</t>
        </r>
        <r>
          <rPr>
            <sz val="9"/>
            <color indexed="81"/>
            <rFont val="Tahoma"/>
            <family val="2"/>
          </rPr>
          <t xml:space="preserve">do mostly the same thing as VLOOKUP (and HLOOKUP), but allow you greater flexibility as you do not only have to search the first column of a range.
</t>
        </r>
      </text>
    </comment>
    <comment ref="D18" authorId="0" shapeId="0">
      <text>
        <r>
          <rPr>
            <b/>
            <sz val="9"/>
            <color indexed="81"/>
            <rFont val="Tahoma"/>
            <family val="2"/>
          </rPr>
          <t xml:space="preserve">Syntax:
INDEX:
</t>
        </r>
        <r>
          <rPr>
            <sz val="9"/>
            <color indexed="81"/>
            <rFont val="Tahoma"/>
            <family val="2"/>
          </rPr>
          <t xml:space="preserve">( Range , Row_# , Column_# )
the Match function goes in either the row# or column# argument space
</t>
        </r>
        <r>
          <rPr>
            <b/>
            <sz val="9"/>
            <color indexed="81"/>
            <rFont val="Tahoma"/>
            <family val="2"/>
          </rPr>
          <t xml:space="preserve">MATCH:
</t>
        </r>
        <r>
          <rPr>
            <sz val="9"/>
            <color indexed="81"/>
            <rFont val="Tahoma"/>
            <family val="2"/>
          </rPr>
          <t xml:space="preserve">( Lookup_Value, Lookup_Range , Match type )
0 for match type works best (exact match)
this example looks like  
</t>
        </r>
      </text>
    </comment>
    <comment ref="C22" authorId="0" shapeId="0">
      <text>
        <r>
          <rPr>
            <b/>
            <sz val="9"/>
            <color indexed="81"/>
            <rFont val="Tahoma"/>
            <family val="2"/>
          </rPr>
          <t xml:space="preserve">CONVERT:
</t>
        </r>
        <r>
          <rPr>
            <sz val="9"/>
            <color indexed="81"/>
            <rFont val="Tahoma"/>
            <family val="2"/>
          </rPr>
          <t>Converts measurements from one system to another (miles to Km for example)</t>
        </r>
      </text>
    </comment>
    <comment ref="D22" authorId="0" shapeId="0">
      <text>
        <r>
          <rPr>
            <b/>
            <sz val="9"/>
            <color indexed="81"/>
            <rFont val="Tahoma"/>
            <family val="2"/>
          </rPr>
          <t xml:space="preserve">Syntax:
</t>
        </r>
        <r>
          <rPr>
            <sz val="9"/>
            <color indexed="81"/>
            <rFont val="Tahoma"/>
            <family val="2"/>
          </rPr>
          <t>Function_Name
( number , convert_from , convert_to )</t>
        </r>
      </text>
    </comment>
    <comment ref="C25" authorId="0" shapeId="0">
      <text>
        <r>
          <rPr>
            <b/>
            <sz val="9"/>
            <color indexed="81"/>
            <rFont val="Tahoma"/>
            <family val="2"/>
          </rPr>
          <t xml:space="preserve">ROUND:
</t>
        </r>
        <r>
          <rPr>
            <sz val="9"/>
            <color indexed="81"/>
            <rFont val="Tahoma"/>
            <family val="2"/>
          </rPr>
          <t xml:space="preserve">rounds a number to the nearest decimal you specify
</t>
        </r>
      </text>
    </comment>
    <comment ref="D25" authorId="0" shapeId="0">
      <text>
        <r>
          <rPr>
            <sz val="9"/>
            <color indexed="81"/>
            <rFont val="Tahoma"/>
            <family val="2"/>
          </rPr>
          <t>Function_Name
( Number , # of Decimal Places )
0 to round to whole numbers
Negatives round to tens, hundreds and so on</t>
        </r>
      </text>
    </comment>
    <comment ref="C26" authorId="0" shapeId="0">
      <text>
        <r>
          <rPr>
            <b/>
            <sz val="9"/>
            <color indexed="81"/>
            <rFont val="Tahoma"/>
            <family val="2"/>
          </rPr>
          <t xml:space="preserve">ROUND:
</t>
        </r>
        <r>
          <rPr>
            <sz val="9"/>
            <color indexed="81"/>
            <rFont val="Tahoma"/>
            <family val="2"/>
          </rPr>
          <t>rounds a number up to the nearest decimal you specify</t>
        </r>
      </text>
    </comment>
    <comment ref="D26" authorId="0" shapeId="0">
      <text>
        <r>
          <rPr>
            <sz val="9"/>
            <color indexed="81"/>
            <rFont val="Tahoma"/>
            <family val="2"/>
          </rPr>
          <t>Function_Name
( Number , # of Decimal Places )
0 to round to whole numbers
Negatives round to tens, hundreds and so on</t>
        </r>
      </text>
    </comment>
    <comment ref="C27" authorId="0" shapeId="0">
      <text>
        <r>
          <rPr>
            <b/>
            <sz val="9"/>
            <color indexed="81"/>
            <rFont val="Tahoma"/>
            <family val="2"/>
          </rPr>
          <t xml:space="preserve">ROUND:
</t>
        </r>
        <r>
          <rPr>
            <sz val="9"/>
            <color indexed="81"/>
            <rFont val="Tahoma"/>
            <family val="2"/>
          </rPr>
          <t>rounds a number down to the nearest decimal you specify</t>
        </r>
      </text>
    </comment>
    <comment ref="D27" authorId="0" shapeId="0">
      <text>
        <r>
          <rPr>
            <sz val="9"/>
            <color indexed="81"/>
            <rFont val="Tahoma"/>
            <family val="2"/>
          </rPr>
          <t>Function_Name
( Number , # of Decimal Places )
0 to round to whole numbers
Negatives round to tens, hundreds and so on</t>
        </r>
      </text>
    </comment>
    <comment ref="C30" authorId="0" shapeId="0">
      <text>
        <r>
          <rPr>
            <b/>
            <sz val="9"/>
            <color indexed="81"/>
            <rFont val="Tahoma"/>
            <family val="2"/>
          </rPr>
          <t xml:space="preserve">IF:
</t>
        </r>
        <r>
          <rPr>
            <sz val="9"/>
            <color indexed="81"/>
            <rFont val="Tahoma"/>
            <family val="2"/>
          </rPr>
          <t xml:space="preserve">Determines if a cell fits the criteria you want and then performs an action based on the whether the test was passed or failed
</t>
        </r>
      </text>
    </comment>
    <comment ref="D30" authorId="0" shapeId="0">
      <text>
        <r>
          <rPr>
            <sz val="9"/>
            <color indexed="81"/>
            <rFont val="Tahoma"/>
            <family val="2"/>
          </rPr>
          <t>Function Name
( Logic_Test , Value_if_True , Value_if_False )</t>
        </r>
      </text>
    </comment>
    <comment ref="C31" authorId="0" shapeId="0">
      <text>
        <r>
          <rPr>
            <b/>
            <sz val="9"/>
            <color indexed="81"/>
            <rFont val="Tahoma"/>
            <family val="2"/>
          </rPr>
          <t xml:space="preserve">COUNTIF:
</t>
        </r>
        <r>
          <rPr>
            <sz val="9"/>
            <color indexed="81"/>
            <rFont val="Tahoma"/>
            <family val="2"/>
          </rPr>
          <t>only counts cells in a range that fit certain criteria</t>
        </r>
      </text>
    </comment>
    <comment ref="D31" authorId="0" shapeId="0">
      <text>
        <r>
          <rPr>
            <sz val="9"/>
            <color indexed="81"/>
            <rFont val="Tahoma"/>
            <family val="2"/>
          </rPr>
          <t>Function Name
( Range , Criteria )</t>
        </r>
      </text>
    </comment>
    <comment ref="C32" authorId="0" shapeId="0">
      <text>
        <r>
          <rPr>
            <b/>
            <sz val="9"/>
            <color indexed="81"/>
            <rFont val="Tahoma"/>
            <family val="2"/>
          </rPr>
          <t xml:space="preserve">SUMIF:
</t>
        </r>
        <r>
          <rPr>
            <sz val="9"/>
            <color indexed="81"/>
            <rFont val="Tahoma"/>
            <family val="2"/>
          </rPr>
          <t>adds up values based on whether another cell in the same row meets your criteria</t>
        </r>
      </text>
    </comment>
    <comment ref="D32" authorId="0" shapeId="0">
      <text>
        <r>
          <rPr>
            <sz val="9"/>
            <color indexed="81"/>
            <rFont val="Tahoma"/>
            <family val="2"/>
          </rPr>
          <t>Function Name
( Range , Criteria , Sum_Range )</t>
        </r>
      </text>
    </comment>
    <comment ref="C33" authorId="0" shapeId="0">
      <text>
        <r>
          <rPr>
            <b/>
            <sz val="9"/>
            <color indexed="81"/>
            <rFont val="Tahoma"/>
            <family val="2"/>
          </rPr>
          <t xml:space="preserve">AverageIF:
</t>
        </r>
        <r>
          <rPr>
            <sz val="9"/>
            <color indexed="81"/>
            <rFont val="Tahoma"/>
            <family val="2"/>
          </rPr>
          <t>averagess values based on whether another cell in the same row meets your criteria</t>
        </r>
      </text>
    </comment>
    <comment ref="D33" authorId="0" shapeId="0">
      <text>
        <r>
          <rPr>
            <sz val="9"/>
            <color indexed="81"/>
            <rFont val="Tahoma"/>
            <family val="2"/>
          </rPr>
          <t>Function Name
( Range , Criteria , Average_Range )</t>
        </r>
      </text>
    </comment>
    <comment ref="C34" authorId="0" shapeId="0">
      <text>
        <r>
          <rPr>
            <b/>
            <sz val="9"/>
            <color indexed="81"/>
            <rFont val="Tahoma"/>
            <family val="2"/>
          </rPr>
          <t xml:space="preserve">ISNUMBER:
</t>
        </r>
        <r>
          <rPr>
            <sz val="9"/>
            <color indexed="81"/>
            <rFont val="Tahoma"/>
            <family val="2"/>
          </rPr>
          <t>determines if the contents of a cell are a number</t>
        </r>
      </text>
    </comment>
    <comment ref="D34" authorId="0" shapeId="0">
      <text>
        <r>
          <rPr>
            <sz val="9"/>
            <color indexed="81"/>
            <rFont val="Tahoma"/>
            <family val="2"/>
          </rPr>
          <t>Function_Name ( Cell )</t>
        </r>
      </text>
    </comment>
    <comment ref="C35" authorId="0" shapeId="0">
      <text>
        <r>
          <rPr>
            <b/>
            <sz val="9"/>
            <color indexed="81"/>
            <rFont val="Tahoma"/>
            <family val="2"/>
          </rPr>
          <t xml:space="preserve">ISBLANK:
</t>
        </r>
        <r>
          <rPr>
            <sz val="9"/>
            <color indexed="81"/>
            <rFont val="Tahoma"/>
            <family val="2"/>
          </rPr>
          <t>determines if a cell is blank</t>
        </r>
      </text>
    </comment>
    <comment ref="D35" authorId="0" shapeId="0">
      <text>
        <r>
          <rPr>
            <sz val="9"/>
            <color indexed="81"/>
            <rFont val="Tahoma"/>
            <family val="2"/>
          </rPr>
          <t>Function_Name ( Cell )</t>
        </r>
      </text>
    </comment>
    <comment ref="C36" authorId="0" shapeId="0">
      <text>
        <r>
          <rPr>
            <b/>
            <sz val="9"/>
            <color indexed="81"/>
            <rFont val="Tahoma"/>
            <family val="2"/>
          </rPr>
          <t xml:space="preserve">ISTEXT:
</t>
        </r>
        <r>
          <rPr>
            <sz val="9"/>
            <color indexed="81"/>
            <rFont val="Tahoma"/>
            <family val="2"/>
          </rPr>
          <t>determines if the contents of a cell are Text</t>
        </r>
      </text>
    </comment>
    <comment ref="D36" authorId="0" shapeId="0">
      <text>
        <r>
          <rPr>
            <sz val="9"/>
            <color indexed="81"/>
            <rFont val="Tahoma"/>
            <family val="2"/>
          </rPr>
          <t>Function_Name ( Cell )</t>
        </r>
      </text>
    </comment>
    <comment ref="C37" authorId="0" shapeId="0">
      <text>
        <r>
          <rPr>
            <b/>
            <sz val="9"/>
            <color indexed="81"/>
            <rFont val="Tahoma"/>
            <family val="2"/>
          </rPr>
          <t xml:space="preserve">ISNUMBER:
</t>
        </r>
        <r>
          <rPr>
            <sz val="9"/>
            <color indexed="81"/>
            <rFont val="Tahoma"/>
            <family val="2"/>
          </rPr>
          <t>determines if the contents of a cell are not text (blank or a number)</t>
        </r>
      </text>
    </comment>
    <comment ref="D37" authorId="0" shapeId="0">
      <text>
        <r>
          <rPr>
            <sz val="9"/>
            <color indexed="81"/>
            <rFont val="Tahoma"/>
            <family val="2"/>
          </rPr>
          <t>Function_Name ( Cell )</t>
        </r>
      </text>
    </comment>
  </commentList>
</comments>
</file>

<file path=xl/sharedStrings.xml><?xml version="1.0" encoding="utf-8"?>
<sst xmlns="http://schemas.openxmlformats.org/spreadsheetml/2006/main" count="889" uniqueCount="467">
  <si>
    <t>New Years day</t>
  </si>
  <si>
    <t>MLK Day</t>
  </si>
  <si>
    <t>Presidents Day</t>
  </si>
  <si>
    <t>Good Friday</t>
  </si>
  <si>
    <t>Memorial Day</t>
  </si>
  <si>
    <t>July 4th</t>
  </si>
  <si>
    <t>Labor Day</t>
  </si>
  <si>
    <t>ID#</t>
  </si>
  <si>
    <t>Employees</t>
  </si>
  <si>
    <t>Department</t>
  </si>
  <si>
    <t>$/Hour</t>
  </si>
  <si>
    <t>Hours/week</t>
  </si>
  <si>
    <t>Yearly Salary</t>
  </si>
  <si>
    <t>Sales</t>
  </si>
  <si>
    <t>Commission</t>
  </si>
  <si>
    <t>Years of Service</t>
  </si>
  <si>
    <t>Longevity</t>
  </si>
  <si>
    <t>Total Payments</t>
  </si>
  <si>
    <t>Direct Deposit?</t>
  </si>
  <si>
    <t>Date Hired</t>
  </si>
  <si>
    <t>Work Phone #</t>
  </si>
  <si>
    <t>Email</t>
  </si>
  <si>
    <t>Address</t>
  </si>
  <si>
    <t>City</t>
  </si>
  <si>
    <t>ZIP</t>
  </si>
  <si>
    <t>Home Phone</t>
  </si>
  <si>
    <t>Age</t>
  </si>
  <si>
    <t>GARDNER, NELLIE N.</t>
  </si>
  <si>
    <t>Management</t>
  </si>
  <si>
    <t>N/A</t>
  </si>
  <si>
    <t>Check</t>
  </si>
  <si>
    <t>NGARDNER@company.com</t>
  </si>
  <si>
    <t>1832 Wilson Ave</t>
  </si>
  <si>
    <t>North Haven</t>
  </si>
  <si>
    <t xml:space="preserve">BREWER, STEVE  </t>
  </si>
  <si>
    <t>Direct Deposit</t>
  </si>
  <si>
    <t>SBREWER@company.com</t>
  </si>
  <si>
    <t>4230 Eramo Ln</t>
  </si>
  <si>
    <t>Wallingford</t>
  </si>
  <si>
    <t xml:space="preserve">RIVERA, MATTIE  </t>
  </si>
  <si>
    <t>MRIVERA@company.com</t>
  </si>
  <si>
    <t>4310 Biehl Ct</t>
  </si>
  <si>
    <t>Hamden</t>
  </si>
  <si>
    <t>DAVIDSON, JEANETTE O.</t>
  </si>
  <si>
    <t>JDAVIDSON@company.com</t>
  </si>
  <si>
    <t>6275 Merrimac View</t>
  </si>
  <si>
    <t>East Haven</t>
  </si>
  <si>
    <t xml:space="preserve">WONG, VICTORIA  </t>
  </si>
  <si>
    <t>VWONG@company.com</t>
  </si>
  <si>
    <t>7417 Pleasant Terrace</t>
  </si>
  <si>
    <t>Cheshire</t>
  </si>
  <si>
    <t>MILLS, STELLA L.</t>
  </si>
  <si>
    <t>SMILLS@company.com</t>
  </si>
  <si>
    <t>8776 Mattes Path</t>
  </si>
  <si>
    <t>ORTEGA, CODY N.</t>
  </si>
  <si>
    <t>CORTEGA@company.com</t>
  </si>
  <si>
    <t>6312 Carbonella Cir</t>
  </si>
  <si>
    <t>KELLEY, ALVIN H.</t>
  </si>
  <si>
    <t>Human Resources</t>
  </si>
  <si>
    <t>AKELLEY@company.com</t>
  </si>
  <si>
    <t>2308 Taft Crossing</t>
  </si>
  <si>
    <t xml:space="preserve">ALVARADO, BERNARD  </t>
  </si>
  <si>
    <t>Marketing</t>
  </si>
  <si>
    <t>BALVARADO@company.com</t>
  </si>
  <si>
    <t>9528 Bliss Terrace</t>
  </si>
  <si>
    <t xml:space="preserve">FRANKLIN, PATRICIA  </t>
  </si>
  <si>
    <t>PFRANKLIN@company.com</t>
  </si>
  <si>
    <t>9920 Kenwood Ave</t>
  </si>
  <si>
    <t>DIXON, LEWIS V.</t>
  </si>
  <si>
    <t>LDIXON@company.com</t>
  </si>
  <si>
    <t>683 Pelham Plaza</t>
  </si>
  <si>
    <t>FRANKLIN, KAY Y.</t>
  </si>
  <si>
    <t>KFRANKLIN@company.com</t>
  </si>
  <si>
    <t>9377 Collier Path</t>
  </si>
  <si>
    <t>ADAMS, SHANE L.</t>
  </si>
  <si>
    <t>SADAMS@company.com</t>
  </si>
  <si>
    <t>7892 Eramo Way</t>
  </si>
  <si>
    <t>MENDEZ, VERONICA Q.</t>
  </si>
  <si>
    <t>Custodial</t>
  </si>
  <si>
    <t>VMENDEZ@company.com</t>
  </si>
  <si>
    <t>8118 N Lake View</t>
  </si>
  <si>
    <t>New Haven</t>
  </si>
  <si>
    <t>SIMPSON, ANGELA A.</t>
  </si>
  <si>
    <t>ASIMPSON@company.com</t>
  </si>
  <si>
    <t>9401 Walter View</t>
  </si>
  <si>
    <t>KELLY, ANITA M.</t>
  </si>
  <si>
    <t>AKELLY@company.com</t>
  </si>
  <si>
    <t>7999 Underhill Crossing</t>
  </si>
  <si>
    <t>Bethany</t>
  </si>
  <si>
    <t>BURNS, TIM U.</t>
  </si>
  <si>
    <t>TBURNS@company.com</t>
  </si>
  <si>
    <t>1952 Curry Street</t>
  </si>
  <si>
    <t>SANDOVAL, CAROLYN Y.</t>
  </si>
  <si>
    <t>CSANDOVAL@company.com</t>
  </si>
  <si>
    <t>5835 Wilkins Dr</t>
  </si>
  <si>
    <t xml:space="preserve">GARCIA, ROSEMARY  </t>
  </si>
  <si>
    <t>RGARCIA@company.com</t>
  </si>
  <si>
    <t>9233 Cumpstone Hill</t>
  </si>
  <si>
    <t xml:space="preserve">LAWRENCE, TERRY  </t>
  </si>
  <si>
    <t>TLAWRENCE@company.com</t>
  </si>
  <si>
    <t>8386 Albert View</t>
  </si>
  <si>
    <t>RODRIGUEZ, KEITH X.</t>
  </si>
  <si>
    <t>KRODRIGUEZ@company.com</t>
  </si>
  <si>
    <t>9437 Nicholas Way</t>
  </si>
  <si>
    <t>HOWARD, JUAN S.</t>
  </si>
  <si>
    <t>JHOWARD@company.com</t>
  </si>
  <si>
    <t>1444 Dunbar Hill Ridge</t>
  </si>
  <si>
    <t xml:space="preserve">STEPHENS, AMY  </t>
  </si>
  <si>
    <t>ASTEPHENS@company.com</t>
  </si>
  <si>
    <t>7902 Carbonella Hill</t>
  </si>
  <si>
    <t xml:space="preserve">THOMPSON, FELIX  </t>
  </si>
  <si>
    <t>FTHOMPSON@company.com</t>
  </si>
  <si>
    <t>8639 Doolittle Path</t>
  </si>
  <si>
    <t xml:space="preserve">MUNOZ, MARJORIE  </t>
  </si>
  <si>
    <t>MMUNOZ@company.com</t>
  </si>
  <si>
    <t>4340 Valley View Ave</t>
  </si>
  <si>
    <t>GARDNER, SHEILA J.</t>
  </si>
  <si>
    <t>SGARDNER@company.com</t>
  </si>
  <si>
    <t>5969 W Meadow Plaza</t>
  </si>
  <si>
    <t>HAYES, RODNEY Q.</t>
  </si>
  <si>
    <t>RHAYES@company.com</t>
  </si>
  <si>
    <t>916 Cherry Ann Plaza</t>
  </si>
  <si>
    <t xml:space="preserve">GRIFFIN, MAXINE  </t>
  </si>
  <si>
    <t>MGRIFFIN@company.com</t>
  </si>
  <si>
    <t>2186 Dest View</t>
  </si>
  <si>
    <t>WALSH, AUDREY I.</t>
  </si>
  <si>
    <t>AWALSH@company.com</t>
  </si>
  <si>
    <t>2627 Beaver Trail</t>
  </si>
  <si>
    <t>WILLIAMSON, JANICE M.</t>
  </si>
  <si>
    <t>JWILLIAMSON@company.com</t>
  </si>
  <si>
    <t>5268 Webb Ridge</t>
  </si>
  <si>
    <t>DUNN, LINDSEY W.</t>
  </si>
  <si>
    <t>LDUNN@company.com</t>
  </si>
  <si>
    <t>5223 Old Hill Pkwy</t>
  </si>
  <si>
    <t>PALMER, VERNON Y.</t>
  </si>
  <si>
    <t>VPALMER@company.com</t>
  </si>
  <si>
    <t>4533 Laconia Pkwy</t>
  </si>
  <si>
    <t xml:space="preserve">WALKER, ANGELA  </t>
  </si>
  <si>
    <t>AWALKER@company.com</t>
  </si>
  <si>
    <t>7921 Dawes Trail</t>
  </si>
  <si>
    <t xml:space="preserve">SIMS, NATALIE  </t>
  </si>
  <si>
    <t>NSIMS@company.com</t>
  </si>
  <si>
    <t>4990 Lynmot Rd</t>
  </si>
  <si>
    <t>DUNCAN, LEWIS R.</t>
  </si>
  <si>
    <t>LDUNCAN@company.com</t>
  </si>
  <si>
    <t>3466 Alenier Path</t>
  </si>
  <si>
    <t>MORENO, MARCUS J.</t>
  </si>
  <si>
    <t>MMORENO@company.com</t>
  </si>
  <si>
    <t>831 W Shepard Ridge</t>
  </si>
  <si>
    <t>BURNS, KENNETH K.</t>
  </si>
  <si>
    <t>KBURNS@company.com</t>
  </si>
  <si>
    <t>2712 Tanglewood Path</t>
  </si>
  <si>
    <t xml:space="preserve">RUSSELL, ERIKA  </t>
  </si>
  <si>
    <t>ERUSSELL@company.com</t>
  </si>
  <si>
    <t>4307 Remington Park</t>
  </si>
  <si>
    <t>CLARK, VIVIAN C.</t>
  </si>
  <si>
    <t>VCLARK@company.com</t>
  </si>
  <si>
    <t>6847 Busher Pl</t>
  </si>
  <si>
    <t xml:space="preserve">NELSON, CHRISTINA  </t>
  </si>
  <si>
    <t>CNELSON@company.com</t>
  </si>
  <si>
    <t>4789 Pinewood Vue</t>
  </si>
  <si>
    <t>MILLS, JOANNE G.</t>
  </si>
  <si>
    <t>JMILLS@company.com</t>
  </si>
  <si>
    <t>3982 Glen Pl</t>
  </si>
  <si>
    <t xml:space="preserve">HUNTER, MARGARET  </t>
  </si>
  <si>
    <t>MHUNTER@company.com</t>
  </si>
  <si>
    <t>9157 Hampshire Path</t>
  </si>
  <si>
    <t xml:space="preserve">SHAW, LAUREN  </t>
  </si>
  <si>
    <t>LSHAW@company.com</t>
  </si>
  <si>
    <t>3021 Heloise St</t>
  </si>
  <si>
    <t>CONTRERAS, FLOYD R.</t>
  </si>
  <si>
    <t>FCONTRERAS@company.com</t>
  </si>
  <si>
    <t>179 Leeder Hill Ave</t>
  </si>
  <si>
    <t>FIELDS, JOSHUA L.</t>
  </si>
  <si>
    <t>JFIELDS@company.com</t>
  </si>
  <si>
    <t>576 Connolly Ridge</t>
  </si>
  <si>
    <t>LITTLE, RICARDO K.</t>
  </si>
  <si>
    <t>RLITTLE@company.com</t>
  </si>
  <si>
    <t>5804 Magee Dr</t>
  </si>
  <si>
    <t>SOTO, ROBERTA Y.</t>
  </si>
  <si>
    <t>RSOTO@company.com</t>
  </si>
  <si>
    <t>89 Mueller Ln</t>
  </si>
  <si>
    <t xml:space="preserve">ELLIS, EDGAR  </t>
  </si>
  <si>
    <t>EELLIS@company.com</t>
  </si>
  <si>
    <t>4649 High Meadow Avenue</t>
  </si>
  <si>
    <t xml:space="preserve">RODRIGUEZ, JARED  </t>
  </si>
  <si>
    <t>JRODRIGUEZ@company.com</t>
  </si>
  <si>
    <t>7444 Vineyard Avenue</t>
  </si>
  <si>
    <t>RUIZ, DONALD P.</t>
  </si>
  <si>
    <t>DRUIZ@company.com</t>
  </si>
  <si>
    <t>8749 Olds Avenue</t>
  </si>
  <si>
    <t xml:space="preserve">ARMSTRONG, ANNETTE  </t>
  </si>
  <si>
    <t>AARMSTRONG@company.com</t>
  </si>
  <si>
    <t>1919 Jackson Crossing</t>
  </si>
  <si>
    <t xml:space="preserve">FISHER, FREDERICK  </t>
  </si>
  <si>
    <t>FFISHER@company.com</t>
  </si>
  <si>
    <t>1294 Stratton Ave</t>
  </si>
  <si>
    <t>WRIGHT, AUDREY Y.</t>
  </si>
  <si>
    <t>AWRIGHT@company.com</t>
  </si>
  <si>
    <t>9060 Haywood Vue</t>
  </si>
  <si>
    <t xml:space="preserve">WONG, CHARLES  </t>
  </si>
  <si>
    <t>CWONG@company.com</t>
  </si>
  <si>
    <t>3132 Vineyard Ave</t>
  </si>
  <si>
    <t>MORALES, TED S.</t>
  </si>
  <si>
    <t>TMORALES@company.com</t>
  </si>
  <si>
    <t>1137 High Ridge Park</t>
  </si>
  <si>
    <t xml:space="preserve">RAMIREZ, MAXINE  </t>
  </si>
  <si>
    <t>MRAMIREZ@company.com</t>
  </si>
  <si>
    <t>544 Elgin Ridge</t>
  </si>
  <si>
    <t xml:space="preserve">JORDAN, BRYAN  </t>
  </si>
  <si>
    <t>BJORDAN@company.com</t>
  </si>
  <si>
    <t>9358 Smith Plaza</t>
  </si>
  <si>
    <t xml:space="preserve">KELLY, GLORIA  </t>
  </si>
  <si>
    <t>GKELLY@company.com</t>
  </si>
  <si>
    <t>5605 Heathridge Pkwy</t>
  </si>
  <si>
    <t>GORDON, PHYLLIS G.</t>
  </si>
  <si>
    <t>PGORDON@company.com</t>
  </si>
  <si>
    <t>4022 Woodland Ridge</t>
  </si>
  <si>
    <t xml:space="preserve">PETERS, DARRYL  </t>
  </si>
  <si>
    <t>DPETERS@company.com</t>
  </si>
  <si>
    <t>353 Seminole Avenue</t>
  </si>
  <si>
    <t>MITCHELL, LORI N.</t>
  </si>
  <si>
    <t>LMITCHELL@company.com</t>
  </si>
  <si>
    <t>6301 Quentin Path</t>
  </si>
  <si>
    <t>NEWMAN, FRANKLIN C.</t>
  </si>
  <si>
    <t>FNEWMAN@company.com</t>
  </si>
  <si>
    <t>5501 Reniew Vue</t>
  </si>
  <si>
    <t xml:space="preserve">MITCHELL, DIANA  </t>
  </si>
  <si>
    <t>DMITCHELL@company.com</t>
  </si>
  <si>
    <t>2502 Walden Rd</t>
  </si>
  <si>
    <t xml:space="preserve">WILSON, BRIAN  </t>
  </si>
  <si>
    <t>BWILSON@company.com</t>
  </si>
  <si>
    <t>3024 Rentell Street</t>
  </si>
  <si>
    <t>LYNCH, DIANNE H.</t>
  </si>
  <si>
    <t>DLYNCH@company.com</t>
  </si>
  <si>
    <t>7578 Laurel View Pkwy</t>
  </si>
  <si>
    <t>YOUNG, MITCHELL T.</t>
  </si>
  <si>
    <t>MYOUNG@company.com</t>
  </si>
  <si>
    <t>4167 Lillibridge View</t>
  </si>
  <si>
    <t>SCHULTZ, LORRAINE X.</t>
  </si>
  <si>
    <t>LSCHULTZ@company.com</t>
  </si>
  <si>
    <t>237 Cumley Rd</t>
  </si>
  <si>
    <t>MUNOZ, THERESA Y.</t>
  </si>
  <si>
    <t>TMUNOZ@company.com</t>
  </si>
  <si>
    <t>1678 Hill Vue</t>
  </si>
  <si>
    <t>HANSEN, JO D.</t>
  </si>
  <si>
    <t>JHANSEN@company.com</t>
  </si>
  <si>
    <t>2700 Belden Ridge</t>
  </si>
  <si>
    <t xml:space="preserve">MEYER, MARTHA  </t>
  </si>
  <si>
    <t>MMEYER@company.com</t>
  </si>
  <si>
    <t>3396 Laura Plaza</t>
  </si>
  <si>
    <t xml:space="preserve">HAMILTON, TRACY  </t>
  </si>
  <si>
    <t>THAMILTON@company.com</t>
  </si>
  <si>
    <t>8881 Hill Rd</t>
  </si>
  <si>
    <t xml:space="preserve">ADAMS, MANUEL  </t>
  </si>
  <si>
    <t>MADAMS@company.com</t>
  </si>
  <si>
    <t>8327 Connolly Pl</t>
  </si>
  <si>
    <t>MORALES, 0 G.</t>
  </si>
  <si>
    <t>0MORALES@company.com</t>
  </si>
  <si>
    <t>1431 Killdeer Pl</t>
  </si>
  <si>
    <t xml:space="preserve">LEWIS, FLORENCE  </t>
  </si>
  <si>
    <t>FLEWIS@company.com</t>
  </si>
  <si>
    <t>6023 Killdeer Hill</t>
  </si>
  <si>
    <t>WOOD, LORI F.</t>
  </si>
  <si>
    <t>LWOOD@company.com</t>
  </si>
  <si>
    <t>6103 Manor Park</t>
  </si>
  <si>
    <t>MUNOZ, LEE Q.</t>
  </si>
  <si>
    <t>LMUNOZ@company.com</t>
  </si>
  <si>
    <t>9219 Pond Rd</t>
  </si>
  <si>
    <t xml:space="preserve">BOWMAN, TODD  </t>
  </si>
  <si>
    <t>TBOWMAN@company.com</t>
  </si>
  <si>
    <t>813 Newton Cir</t>
  </si>
  <si>
    <t>REED, SALVADOR E.</t>
  </si>
  <si>
    <t>SREED@company.com</t>
  </si>
  <si>
    <t>3714 Bolton Trail</t>
  </si>
  <si>
    <t xml:space="preserve">HENRY, ZACHARY  </t>
  </si>
  <si>
    <t>ZHENRY@company.com</t>
  </si>
  <si>
    <t>9748 Orpington Pl</t>
  </si>
  <si>
    <t>ORTIZ, MARLENE X.</t>
  </si>
  <si>
    <t>MORTIZ@company.com</t>
  </si>
  <si>
    <t>4154 Ingleside Way</t>
  </si>
  <si>
    <t xml:space="preserve">JOHNSON, LARRY  </t>
  </si>
  <si>
    <t>LJOHNSON@company.com</t>
  </si>
  <si>
    <t>3791 Frazier Ridge</t>
  </si>
  <si>
    <t>KNIGHT, JERRY O.</t>
  </si>
  <si>
    <t>JKNIGHT@company.com</t>
  </si>
  <si>
    <t>3585 Calamus Meadow Street</t>
  </si>
  <si>
    <t>AUSTIN, TRACY K.</t>
  </si>
  <si>
    <t>TAUSTIN@company.com</t>
  </si>
  <si>
    <t>1187 Belmont Dr</t>
  </si>
  <si>
    <t>THOMPSON, PATRICK F.</t>
  </si>
  <si>
    <t>PTHOMPSON@company.com</t>
  </si>
  <si>
    <t>5462 Arents Crossing</t>
  </si>
  <si>
    <t xml:space="preserve">WONG, ERIKA  </t>
  </si>
  <si>
    <t>EWONG@company.com</t>
  </si>
  <si>
    <t>9628 Pelham Crossing</t>
  </si>
  <si>
    <t>EVANS, ANGELA N.</t>
  </si>
  <si>
    <t>AEVANS@company.com</t>
  </si>
  <si>
    <t>745 Thayer Street</t>
  </si>
  <si>
    <t>ALVAREZ, STEPHEN L.</t>
  </si>
  <si>
    <t>SALVAREZ@company.com</t>
  </si>
  <si>
    <t>2955 Sherman Dr</t>
  </si>
  <si>
    <t>LAWRENCE, CARL Z.</t>
  </si>
  <si>
    <t>CLAWRENCE@company.com</t>
  </si>
  <si>
    <t>3684 Maryknoll Ln</t>
  </si>
  <si>
    <t>KIM, ELIZABETH K.</t>
  </si>
  <si>
    <t>EKIM@company.com</t>
  </si>
  <si>
    <t>3475 Quaker St</t>
  </si>
  <si>
    <t>ARMSTRONG, MARLENE T.</t>
  </si>
  <si>
    <t>MARMSTRONG@company.com</t>
  </si>
  <si>
    <t>5006 Elizabeth Path</t>
  </si>
  <si>
    <t>KIM, RODNEY F.</t>
  </si>
  <si>
    <t xml:space="preserve"> </t>
  </si>
  <si>
    <t>RKIM@company.com</t>
  </si>
  <si>
    <t>9784 W Woods Avenue</t>
  </si>
  <si>
    <t>MCCOY, BILLY X.</t>
  </si>
  <si>
    <t>BMCCOY@company.com</t>
  </si>
  <si>
    <t>7724 Valley View Dr</t>
  </si>
  <si>
    <t xml:space="preserve">JOHNSTON, DANA  </t>
  </si>
  <si>
    <t>DJOHNSTON@company.com</t>
  </si>
  <si>
    <t>6560 Cobblestone Ave</t>
  </si>
  <si>
    <t>CARTER, ERIKA A.</t>
  </si>
  <si>
    <t>ECARTER@company.com</t>
  </si>
  <si>
    <t>494 Westland Way</t>
  </si>
  <si>
    <t xml:space="preserve">MYERS, BONNIE  </t>
  </si>
  <si>
    <t>BMYERS@company.com</t>
  </si>
  <si>
    <t>6169 Jeep Terrace</t>
  </si>
  <si>
    <t>RICHARDSON, CATHERINE K.</t>
  </si>
  <si>
    <t>CRICHARDSON@company.com</t>
  </si>
  <si>
    <t>9809 Hawthorne Vue</t>
  </si>
  <si>
    <t>HUNTER, LOUIS J.</t>
  </si>
  <si>
    <t>LHUNTER@company.com</t>
  </si>
  <si>
    <t>4500 Baldwin Ave</t>
  </si>
  <si>
    <t xml:space="preserve">CASTILLO, SHARON  </t>
  </si>
  <si>
    <t>SCASTILLO@company.com</t>
  </si>
  <si>
    <t>1881 Knoll Dr</t>
  </si>
  <si>
    <t xml:space="preserve">ELLIS, VERA  </t>
  </si>
  <si>
    <t>VELLIS@company.com</t>
  </si>
  <si>
    <t>3187 Post Falls Vue</t>
  </si>
  <si>
    <t>HILL, LOIS Q.</t>
  </si>
  <si>
    <t>LHILL@company.com</t>
  </si>
  <si>
    <t>8425 Hill Ct</t>
  </si>
  <si>
    <t xml:space="preserve">BANKS, WESLEY  </t>
  </si>
  <si>
    <t>WBANKS@company.com</t>
  </si>
  <si>
    <t>5418 Parmalee Ct</t>
  </si>
  <si>
    <t xml:space="preserve">GARZA, MARC  </t>
  </si>
  <si>
    <t>MGARZA@company.com</t>
  </si>
  <si>
    <t>7094 Patterson Way</t>
  </si>
  <si>
    <t>BOYD, TIM H.</t>
  </si>
  <si>
    <t>TBOYD@company.com</t>
  </si>
  <si>
    <t>4887 Clifford Hill</t>
  </si>
  <si>
    <t>STANLEY, GREG K.</t>
  </si>
  <si>
    <t>GSTANLEY@company.com</t>
  </si>
  <si>
    <t>382 Jomarg Dr</t>
  </si>
  <si>
    <t>YOUNG, VINCENT O.</t>
  </si>
  <si>
    <t>VYOUNG@company.com</t>
  </si>
  <si>
    <t>4009 Treadwell Pl</t>
  </si>
  <si>
    <t>ARNOLD, GREG G.</t>
  </si>
  <si>
    <t>GARNOLD@company.com</t>
  </si>
  <si>
    <t>6495 Cooper Cir</t>
  </si>
  <si>
    <t xml:space="preserve">MYERS, CAROLYN  </t>
  </si>
  <si>
    <t>CMYERS@company.com</t>
  </si>
  <si>
    <t>2405 Marlboro Trail</t>
  </si>
  <si>
    <t xml:space="preserve">HARRIS, CORY  </t>
  </si>
  <si>
    <t>CHARRIS@company.com</t>
  </si>
  <si>
    <t>6115 Penn Pkwy</t>
  </si>
  <si>
    <t xml:space="preserve">GRIFFIN, FELICIA  </t>
  </si>
  <si>
    <t>FGRIFFIN@company.com</t>
  </si>
  <si>
    <t>9685 Norton Pl</t>
  </si>
  <si>
    <t>BURNS, CHRIS H.</t>
  </si>
  <si>
    <t>CBURNS@company.com</t>
  </si>
  <si>
    <t>3244 Shepards Knoll Ln</t>
  </si>
  <si>
    <t xml:space="preserve">SIMS, KIRK  </t>
  </si>
  <si>
    <t>KSIMS@company.com</t>
  </si>
  <si>
    <t>4437 Merritt Dr</t>
  </si>
  <si>
    <t xml:space="preserve">HILL, HERMAN  </t>
  </si>
  <si>
    <t>HHILL@company.com</t>
  </si>
  <si>
    <t>7332 Mix Pkwy</t>
  </si>
  <si>
    <t>KELLEY, RUBY V.</t>
  </si>
  <si>
    <t>RKELLEY@company.com</t>
  </si>
  <si>
    <t>4837 Cromwell Avenue</t>
  </si>
  <si>
    <t xml:space="preserve">GRIFFIN, MARLENE  </t>
  </si>
  <si>
    <t>8037 Sunwoods St</t>
  </si>
  <si>
    <t>TAYLOR, SAMANTHA R.</t>
  </si>
  <si>
    <t>STAYLOR@company.com</t>
  </si>
  <si>
    <t>309 Sebec Hill</t>
  </si>
  <si>
    <t>VASQUEZ, TRACY D.</t>
  </si>
  <si>
    <t>TVASQUEZ@company.com</t>
  </si>
  <si>
    <t>5980 Aspen Avenue</t>
  </si>
  <si>
    <t xml:space="preserve">SCHMIDT, MELISSA  </t>
  </si>
  <si>
    <t>MSCHMIDT@company.com</t>
  </si>
  <si>
    <t>3113 Old Hill Pkwy</t>
  </si>
  <si>
    <t xml:space="preserve">FIELDS, JENNIFER  </t>
  </si>
  <si>
    <t>9881 Beacon View</t>
  </si>
  <si>
    <t xml:space="preserve">SNYDER, LISA  </t>
  </si>
  <si>
    <t>LSNYDER@company.com</t>
  </si>
  <si>
    <t>8761 Jaenicke Pl</t>
  </si>
  <si>
    <t>Worker</t>
  </si>
  <si>
    <t>hrs/week</t>
  </si>
  <si>
    <t>Yr Salary</t>
  </si>
  <si>
    <t>Full Timers</t>
  </si>
  <si>
    <t>Total</t>
  </si>
  <si>
    <t>Tax</t>
  </si>
  <si>
    <t>Subtotal W/ Discount</t>
  </si>
  <si>
    <t>Discount</t>
  </si>
  <si>
    <t>Subtotal</t>
  </si>
  <si>
    <t>None</t>
  </si>
  <si>
    <t>Screws</t>
  </si>
  <si>
    <t>Box o</t>
  </si>
  <si>
    <t>Nails</t>
  </si>
  <si>
    <t>Nuts</t>
  </si>
  <si>
    <t>Bolts</t>
  </si>
  <si>
    <t>Price</t>
  </si>
  <si>
    <t>Quanitity</t>
  </si>
  <si>
    <t>Item</t>
  </si>
  <si>
    <t>Order Quanitity</t>
  </si>
  <si>
    <t>Sales Tax Rate</t>
  </si>
  <si>
    <t>Part Timers</t>
  </si>
  <si>
    <t># of Workers</t>
  </si>
  <si>
    <t>Salary Total</t>
  </si>
  <si>
    <t>Salary Average</t>
  </si>
  <si>
    <t>Total Salary</t>
  </si>
  <si>
    <t>Average Salary</t>
  </si>
  <si>
    <t>Total Workers</t>
  </si>
  <si>
    <t>Column1</t>
  </si>
  <si>
    <t>Formula</t>
  </si>
  <si>
    <t>Result</t>
  </si>
  <si>
    <t>Reference</t>
  </si>
  <si>
    <t>Formula in C</t>
  </si>
  <si>
    <t>I Love</t>
  </si>
  <si>
    <t>Cats</t>
  </si>
  <si>
    <t>Formulas</t>
  </si>
  <si>
    <t>in C-E</t>
  </si>
  <si>
    <t>TRY IT</t>
  </si>
  <si>
    <t>SUM</t>
  </si>
  <si>
    <t>AVERAGE</t>
  </si>
  <si>
    <t>COUNT</t>
  </si>
  <si>
    <t>MAX</t>
  </si>
  <si>
    <t>MIN</t>
  </si>
  <si>
    <t>Syntax</t>
  </si>
  <si>
    <t>SUBTOTAL</t>
  </si>
  <si>
    <t>TODAY</t>
  </si>
  <si>
    <t>NOW</t>
  </si>
  <si>
    <t>DATE</t>
  </si>
  <si>
    <t>VLOOKUP</t>
  </si>
  <si>
    <t>INDEX/MATCH</t>
  </si>
  <si>
    <t>CONVERT</t>
  </si>
  <si>
    <t>Using lookup functions to find information from the first formula's table.</t>
  </si>
  <si>
    <t>Some sample date functions</t>
  </si>
  <si>
    <t>Using a function to convert Miles to Kilometers</t>
  </si>
  <si>
    <t>Miles</t>
  </si>
  <si>
    <t>Kilometers</t>
  </si>
  <si>
    <t>Some simple mathematical formulas</t>
  </si>
  <si>
    <t>Other Formulas</t>
  </si>
  <si>
    <t>DATEDIF</t>
  </si>
  <si>
    <t>ROUND</t>
  </si>
  <si>
    <t>ROUNDUP</t>
  </si>
  <si>
    <t>ROUNDDOWN</t>
  </si>
  <si>
    <t>ISNUMBER</t>
  </si>
  <si>
    <t>ISBLANK</t>
  </si>
  <si>
    <t>Logic functions</t>
  </si>
  <si>
    <t>IF</t>
  </si>
  <si>
    <t>COUNTIF</t>
  </si>
  <si>
    <t>SUMIF</t>
  </si>
  <si>
    <t>AVERAGEIF</t>
  </si>
  <si>
    <t>ISTEXT</t>
  </si>
  <si>
    <t>ISNONTEXT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</si>
</sst>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00000"/>
    <numFmt numFmtId="166" formatCode="[&lt;=9999999]###\-####;\(###\)\ ###\-####"/>
    <numFmt numFmtId="167" formatCode="0.0%"/>
  </numFmts>
  <fonts count="9"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FA7D00"/>
      <name val="Calibri"/>
      <family val="2"/>
      <scheme val="minor"/>
    </font>
    <font>
      <sz val="11"/>
      <name val="Calibri"/>
      <family val="2"/>
      <scheme val="minor"/>
    </font>
    <font>
      <sz val="9"/>
      <color indexed="81"/>
      <name val="Tahoma"/>
      <family val="2"/>
    </font>
    <font>
      <b/>
      <sz val="9"/>
      <color indexed="81"/>
      <name val="Tahoma"/>
      <family val="2"/>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s>
  <borders count="3">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43"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cellStyleXfs>
  <cellXfs count="53">
    <xf numFmtId="0" fontId="0" fillId="0" borderId="0" xfId="0"/>
    <xf numFmtId="164" fontId="0" fillId="0" borderId="0" xfId="0" applyNumberFormat="1"/>
    <xf numFmtId="165" fontId="0" fillId="0" borderId="0" xfId="0" applyNumberFormat="1" applyAlignment="1">
      <alignment horizontal="left" vertical="top" wrapText="1"/>
    </xf>
    <xf numFmtId="0" fontId="0" fillId="0" borderId="0" xfId="0" applyAlignment="1">
      <alignment horizontal="left" vertical="top" wrapText="1"/>
    </xf>
    <xf numFmtId="44" fontId="0" fillId="0" borderId="0" xfId="1" applyFont="1" applyAlignment="1">
      <alignment horizontal="left" vertical="top" wrapText="1"/>
    </xf>
    <xf numFmtId="14" fontId="0" fillId="0" borderId="0" xfId="0" applyNumberFormat="1" applyAlignment="1">
      <alignment horizontal="left" vertical="top" wrapText="1"/>
    </xf>
    <xf numFmtId="0" fontId="0" fillId="0" borderId="0" xfId="0" applyNumberFormat="1" applyAlignment="1">
      <alignment horizontal="left" vertical="top" wrapText="1"/>
    </xf>
    <xf numFmtId="166" fontId="0" fillId="0" borderId="0" xfId="0" applyNumberFormat="1" applyAlignment="1">
      <alignment horizontal="left" vertical="top" wrapText="1"/>
    </xf>
    <xf numFmtId="165" fontId="0" fillId="0" borderId="0" xfId="0" applyNumberFormat="1" applyAlignment="1">
      <alignment horizontal="right"/>
    </xf>
    <xf numFmtId="44" fontId="0" fillId="0" borderId="0" xfId="1" applyFont="1"/>
    <xf numFmtId="44" fontId="0" fillId="0" borderId="0" xfId="1" applyFont="1" applyAlignment="1">
      <alignment horizontal="right"/>
    </xf>
    <xf numFmtId="14" fontId="0" fillId="0" borderId="0" xfId="0" applyNumberFormat="1"/>
    <xf numFmtId="166" fontId="0" fillId="0" borderId="0" xfId="0" applyNumberFormat="1"/>
    <xf numFmtId="0" fontId="0" fillId="0" borderId="0" xfId="0" applyNumberFormat="1" applyAlignment="1">
      <alignment horizontal="right"/>
    </xf>
    <xf numFmtId="0" fontId="0" fillId="0" borderId="0" xfId="0" applyAlignment="1">
      <alignment horizontal="left"/>
    </xf>
    <xf numFmtId="165" fontId="0" fillId="0" borderId="0" xfId="0" applyNumberFormat="1"/>
    <xf numFmtId="0" fontId="0" fillId="0" borderId="0" xfId="0" applyNumberFormat="1"/>
    <xf numFmtId="44" fontId="0" fillId="0" borderId="0" xfId="0" applyNumberFormat="1"/>
    <xf numFmtId="44" fontId="0" fillId="0" borderId="0" xfId="0" applyNumberFormat="1" applyFont="1" applyAlignment="1">
      <alignment horizontal="right"/>
    </xf>
    <xf numFmtId="0" fontId="0" fillId="0" borderId="0" xfId="0" applyNumberFormat="1" applyFont="1" applyAlignment="1">
      <alignment horizontal="right"/>
    </xf>
    <xf numFmtId="44" fontId="0" fillId="0" borderId="0" xfId="0" applyNumberFormat="1" applyFont="1"/>
    <xf numFmtId="0" fontId="0" fillId="0" borderId="0" xfId="0" applyNumberFormat="1" applyFont="1"/>
    <xf numFmtId="0" fontId="0" fillId="0" borderId="0" xfId="0" applyAlignment="1">
      <alignment horizontal="right"/>
    </xf>
    <xf numFmtId="1" fontId="0" fillId="0" borderId="0" xfId="0" applyNumberFormat="1"/>
    <xf numFmtId="0" fontId="0" fillId="6" borderId="0" xfId="0" applyFill="1"/>
    <xf numFmtId="44" fontId="0" fillId="6" borderId="0" xfId="1" applyFont="1" applyFill="1"/>
    <xf numFmtId="9" fontId="0" fillId="6" borderId="0" xfId="0" applyNumberFormat="1" applyFill="1"/>
    <xf numFmtId="0" fontId="0" fillId="0" borderId="0" xfId="0" applyFont="1" applyFill="1" applyBorder="1"/>
    <xf numFmtId="44" fontId="0" fillId="0" borderId="0" xfId="1" applyFont="1" applyFill="1" applyBorder="1"/>
    <xf numFmtId="0" fontId="0" fillId="6" borderId="2" xfId="0" applyFill="1" applyBorder="1"/>
    <xf numFmtId="0" fontId="6" fillId="4" borderId="2" xfId="5" applyFont="1" applyBorder="1"/>
    <xf numFmtId="44" fontId="6" fillId="4" borderId="2" xfId="5" applyNumberFormat="1" applyFont="1" applyBorder="1"/>
    <xf numFmtId="0" fontId="6" fillId="2" borderId="2" xfId="3" applyFont="1" applyBorder="1"/>
    <xf numFmtId="44" fontId="6" fillId="2" borderId="2" xfId="3" applyNumberFormat="1" applyFont="1" applyBorder="1"/>
    <xf numFmtId="0" fontId="6" fillId="3" borderId="2" xfId="4" applyFont="1" applyBorder="1"/>
    <xf numFmtId="44" fontId="6" fillId="3" borderId="2" xfId="4" applyNumberFormat="1" applyFont="1" applyBorder="1"/>
    <xf numFmtId="0" fontId="6" fillId="5" borderId="2" xfId="6" applyFont="1" applyBorder="1"/>
    <xf numFmtId="44" fontId="6" fillId="5" borderId="2" xfId="6" applyNumberFormat="1" applyFont="1" applyBorder="1"/>
    <xf numFmtId="0" fontId="0" fillId="6" borderId="2" xfId="0" applyFill="1" applyBorder="1" applyAlignment="1">
      <alignment horizontal="right"/>
    </xf>
    <xf numFmtId="0" fontId="0" fillId="0" borderId="0" xfId="0" applyAlignment="1">
      <alignment horizontal="center"/>
    </xf>
    <xf numFmtId="43" fontId="0" fillId="0" borderId="0" xfId="2" applyFont="1" applyAlignment="1">
      <alignment horizontal="right"/>
    </xf>
    <xf numFmtId="0" fontId="0" fillId="0" borderId="2" xfId="0" applyBorder="1"/>
    <xf numFmtId="0" fontId="0" fillId="7" borderId="2" xfId="0" applyFill="1" applyBorder="1"/>
    <xf numFmtId="0" fontId="0" fillId="8" borderId="2" xfId="0" applyFill="1" applyBorder="1"/>
    <xf numFmtId="0" fontId="0" fillId="0" borderId="0" xfId="0" applyNumberFormat="1" applyAlignment="1">
      <alignment horizontal="center"/>
    </xf>
    <xf numFmtId="167" fontId="0" fillId="0" borderId="0" xfId="0" applyNumberFormat="1" applyAlignment="1">
      <alignment horizontal="center"/>
    </xf>
    <xf numFmtId="0" fontId="0" fillId="9" borderId="0" xfId="0" applyFill="1"/>
    <xf numFmtId="0" fontId="0" fillId="9" borderId="2" xfId="0" applyFill="1" applyBorder="1"/>
    <xf numFmtId="0" fontId="0" fillId="0" borderId="2" xfId="0" applyBorder="1" applyAlignment="1">
      <alignment horizontal="center"/>
    </xf>
    <xf numFmtId="22" fontId="0" fillId="0" borderId="0" xfId="0" applyNumberFormat="1"/>
    <xf numFmtId="0" fontId="0" fillId="0" borderId="0" xfId="0" applyAlignment="1">
      <alignment wrapText="1"/>
    </xf>
    <xf numFmtId="0" fontId="0" fillId="9" borderId="0" xfId="0" applyFill="1" applyAlignment="1">
      <alignment wrapText="1"/>
    </xf>
    <xf numFmtId="0" fontId="0" fillId="0" borderId="0" xfId="0" applyAlignment="1">
      <alignment horizontal="center"/>
    </xf>
  </cellXfs>
  <cellStyles count="7">
    <cellStyle name="Bad" xfId="4" builtinId="27"/>
    <cellStyle name="Calculation" xfId="6" builtinId="22"/>
    <cellStyle name="Comma" xfId="2" builtinId="3"/>
    <cellStyle name="Currency" xfId="1" builtinId="4"/>
    <cellStyle name="Good" xfId="3" builtinId="26"/>
    <cellStyle name="Neutral" xfId="5" builtinId="28"/>
    <cellStyle name="Normal" xfId="0" builtinId="0"/>
  </cellStyles>
  <dxfs count="36">
    <dxf>
      <alignment horizontal="right" vertical="bottom" textRotation="0" wrapText="0" indent="0" justifyLastLine="0" shrinkToFit="0" readingOrder="0"/>
    </dxf>
    <dxf>
      <alignment horizontal="right" vertical="bottom" textRotation="0" wrapText="0" indent="0" justifyLastLine="0" shrinkToFit="0" readingOrder="0"/>
    </dxf>
    <dxf>
      <numFmt numFmtId="0" formatCode="General"/>
    </dxf>
    <dxf>
      <numFmt numFmtId="0" formatCode="General"/>
    </dxf>
    <dxf>
      <numFmt numFmtId="166" formatCode="[&lt;=9999999]###\-####;\(###\)\ ###\-####"/>
    </dxf>
    <dxf>
      <numFmt numFmtId="1" formatCode="0"/>
    </dxf>
    <dxf>
      <numFmt numFmtId="0" formatCode="General"/>
    </dxf>
    <dxf>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19" formatCode="m/d/yyyy"/>
    </dxf>
    <dxf>
      <numFmt numFmtId="0" formatCode="General"/>
    </dxf>
    <dxf>
      <numFmt numFmtId="19" formatCode="m/d/yyyy"/>
    </dxf>
    <dxf>
      <font>
        <b val="0"/>
        <i val="0"/>
        <strike val="0"/>
        <condense val="0"/>
        <extend val="0"/>
        <outline val="0"/>
        <shadow val="0"/>
        <u val="none"/>
        <vertAlign val="baseline"/>
        <sz val="11"/>
        <color theme="1"/>
        <name val="Calibri"/>
        <scheme val="minor"/>
      </font>
      <numFmt numFmtId="0" formatCode="General"/>
    </dxf>
    <dxf>
      <font>
        <b val="0"/>
        <i val="0"/>
        <strike val="0"/>
        <condense val="0"/>
        <extend val="0"/>
        <outline val="0"/>
        <shadow val="0"/>
        <u val="none"/>
        <vertAlign val="baseline"/>
        <sz val="11"/>
        <color theme="1"/>
        <name val="Calibri"/>
        <scheme val="minor"/>
      </font>
      <numFmt numFmtId="34" formatCode="_(&quot;$&quot;* #,##0.00_);_(&quot;$&quot;* \(#,##0.00\);_(&quot;$&quot;* &quot;-&quot;??_);_(@_)"/>
    </dxf>
    <dxf>
      <font>
        <b val="0"/>
        <i val="0"/>
        <strike val="0"/>
        <condense val="0"/>
        <extend val="0"/>
        <outline val="0"/>
        <shadow val="0"/>
        <u val="none"/>
        <vertAlign val="baseline"/>
        <sz val="11"/>
        <color theme="1"/>
        <name val="Calibri"/>
        <scheme val="minor"/>
      </font>
      <numFmt numFmtId="34" formatCode="_(&quot;$&quot;* #,##0.00_);_(&quot;$&quot;* \(#,##0.00\);_(&quot;$&quot;* &quot;-&quot;??_);_(@_)"/>
    </dxf>
    <dxf>
      <numFmt numFmtId="34" formatCode="_(&quot;$&quot;* #,##0.00_);_(&quot;$&quot;* \(#,##0.00\);_(&quot;$&quot;* &quot;-&quot;??_);_(@_)"/>
    </dxf>
    <dxf>
      <font>
        <b val="0"/>
        <i val="0"/>
        <strike val="0"/>
        <condense val="0"/>
        <extend val="0"/>
        <outline val="0"/>
        <shadow val="0"/>
        <u val="none"/>
        <vertAlign val="baseline"/>
        <sz val="11"/>
        <color theme="1"/>
        <name val="Calibri"/>
        <scheme val="minor"/>
      </font>
      <numFmt numFmtId="34" formatCode="_(&quot;$&quot;* #,##0.00_);_(&quot;$&quot;* \(#,##0.0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right" vertical="bottom" textRotation="0" wrapText="0" indent="0" justifyLastLine="0" shrinkToFit="0" readingOrder="0"/>
    </dxf>
    <dxf>
      <numFmt numFmtId="34" formatCode="_(&quot;$&quot;* #,##0.00_);_(&quot;$&quot;* \(#,##0.00\);_(&quot;$&quot;* &quot;-&quot;??_);_(@_)"/>
      <alignment horizontal="right" vertical="bottom" textRotation="0" wrapText="0" indent="0" justifyLastLine="0" shrinkToFit="0" readingOrder="0"/>
    </dxf>
    <dxf>
      <numFmt numFmtId="34" formatCode="_(&quot;$&quot;* #,##0.00_);_(&quot;$&quot;* \(#,##0.00\);_(&quot;$&quot;* &quot;-&quot;??_);_(@_)"/>
    </dxf>
    <dxf>
      <numFmt numFmtId="34" formatCode="_(&quot;$&quot;* #,##0.00_);_(&quot;$&quot;* \(#,##0.00\);_(&quot;$&quot;* &quot;-&quot;??_);_(@_)"/>
      <alignment horizontal="right" vertical="bottom" textRotation="0" wrapText="0" indent="0" justifyLastLine="0" shrinkToFit="0" readingOrder="0"/>
    </dxf>
    <dxf>
      <numFmt numFmtId="34" formatCode="_(&quot;$&quot;* #,##0.00_);_(&quot;$&quot;* \(#,##0.00\);_(&quot;$&quot;* &quot;-&quot;??_);_(@_)"/>
    </dxf>
    <dxf>
      <numFmt numFmtId="0" formatCode="General"/>
    </dxf>
    <dxf>
      <numFmt numFmtId="0" formatCode="General"/>
    </dxf>
    <dxf>
      <numFmt numFmtId="34" formatCode="_(&quot;$&quot;* #,##0.00_);_(&quot;$&quot;* \(#,##0.00\);_(&quot;$&quot;* &quot;-&quot;??_);_(@_)"/>
    </dxf>
    <dxf>
      <numFmt numFmtId="0" formatCode="General"/>
    </dxf>
    <dxf>
      <numFmt numFmtId="0" formatCode="General"/>
    </dxf>
    <dxf>
      <numFmt numFmtId="165" formatCode="00000"/>
    </dxf>
    <dxf>
      <numFmt numFmtId="165" formatCode="00000"/>
      <alignment horizontal="right" vertical="bottom" textRotation="0" wrapText="0" indent="0" justifyLastLine="0" shrinkToFit="0" readingOrder="0"/>
    </dxf>
    <dxf>
      <alignment horizontal="left" vertical="top" textRotation="0" wrapText="1" indent="0" justifyLastLine="0" shrinkToFit="0" readingOrder="0"/>
    </dxf>
    <dxf>
      <font>
        <b/>
        <color theme="1"/>
      </font>
      <border>
        <bottom style="thin">
          <color theme="4"/>
        </bottom>
        <vertical/>
        <horizontal/>
      </border>
    </dxf>
    <dxf>
      <font>
        <sz val="28"/>
        <color theme="1"/>
      </font>
      <border>
        <left style="thin">
          <color theme="4"/>
        </left>
        <right style="thin">
          <color theme="4"/>
        </right>
        <top style="thin">
          <color theme="4"/>
        </top>
        <bottom style="thin">
          <color theme="4"/>
        </bottom>
        <vertical/>
        <horizontal/>
      </border>
    </dxf>
  </dxfs>
  <tableStyles count="1" defaultTableStyle="TableStyleMedium2" defaultPivotStyle="PivotStyleLight16">
    <tableStyle name="SlicerStyleLight1 big" pivot="0" table="0" count="10">
      <tableStyleElement type="wholeTable" dxfId="35"/>
      <tableStyleElement type="headerRow" dxfId="34"/>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Light1 big">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20</xdr:col>
      <xdr:colOff>92307</xdr:colOff>
      <xdr:row>0</xdr:row>
      <xdr:rowOff>100012</xdr:rowOff>
    </xdr:from>
    <xdr:to>
      <xdr:col>27</xdr:col>
      <xdr:colOff>288131</xdr:colOff>
      <xdr:row>20</xdr:row>
      <xdr:rowOff>171449</xdr:rowOff>
    </xdr:to>
    <mc:AlternateContent xmlns:mc="http://schemas.openxmlformats.org/markup-compatibility/2006" xmlns:sle15="http://schemas.microsoft.com/office/drawing/2012/slicer">
      <mc:Choice Requires="sle15">
        <xdr:graphicFrame macro="">
          <xdr:nvGraphicFramePr>
            <xdr:cNvPr id="2" name="Direct Deposit?"/>
            <xdr:cNvGraphicFramePr/>
          </xdr:nvGraphicFramePr>
          <xdr:xfrm>
            <a:off x="0" y="0"/>
            <a:ext cx="0" cy="0"/>
          </xdr:xfrm>
          <a:graphic>
            <a:graphicData uri="http://schemas.microsoft.com/office/drawing/2010/slicer">
              <sle:slicer xmlns:sle="http://schemas.microsoft.com/office/drawing/2010/slicer" name="Direct Deposit?"/>
            </a:graphicData>
          </a:graphic>
        </xdr:graphicFrame>
      </mc:Choice>
      <mc:Fallback xmlns="">
        <xdr:sp macro="" textlink="">
          <xdr:nvSpPr>
            <xdr:cNvPr id="0" name=""/>
            <xdr:cNvSpPr>
              <a:spLocks noTextEdit="1"/>
            </xdr:cNvSpPr>
          </xdr:nvSpPr>
          <xdr:spPr>
            <a:xfrm>
              <a:off x="19275657" y="100012"/>
              <a:ext cx="4463024" cy="407193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xdr:twoCellAnchor>
  <xdr:twoCellAnchor editAs="absolute">
    <xdr:from>
      <xdr:col>20</xdr:col>
      <xdr:colOff>102393</xdr:colOff>
      <xdr:row>21</xdr:row>
      <xdr:rowOff>42862</xdr:rowOff>
    </xdr:from>
    <xdr:to>
      <xdr:col>27</xdr:col>
      <xdr:colOff>307180</xdr:colOff>
      <xdr:row>45</xdr:row>
      <xdr:rowOff>152399</xdr:rowOff>
    </xdr:to>
    <mc:AlternateContent xmlns:mc="http://schemas.openxmlformats.org/markup-compatibility/2006" xmlns:sle15="http://schemas.microsoft.com/office/drawing/2012/slicer">
      <mc:Choice Requires="sle15">
        <xdr:graphicFrame macro="">
          <xdr:nvGraphicFramePr>
            <xdr:cNvPr id="3" name="City"/>
            <xdr:cNvGraphicFramePr/>
          </xdr:nvGraphicFramePr>
          <xdr:xfrm>
            <a:off x="0" y="0"/>
            <a:ext cx="0" cy="0"/>
          </xdr:xfrm>
          <a:graphic>
            <a:graphicData uri="http://schemas.microsoft.com/office/drawing/2010/slicer">
              <sle:slicer xmlns:sle="http://schemas.microsoft.com/office/drawing/2010/slicer" name="City"/>
            </a:graphicData>
          </a:graphic>
        </xdr:graphicFrame>
      </mc:Choice>
      <mc:Fallback xmlns="">
        <xdr:sp macro="" textlink="">
          <xdr:nvSpPr>
            <xdr:cNvPr id="0" name=""/>
            <xdr:cNvSpPr>
              <a:spLocks noTextEdit="1"/>
            </xdr:cNvSpPr>
          </xdr:nvSpPr>
          <xdr:spPr>
            <a:xfrm>
              <a:off x="19285743" y="4233862"/>
              <a:ext cx="4471987" cy="468153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Direct_Deposit?" sourceName="Direct Deposit?">
  <extLst>
    <x:ext xmlns:x15="http://schemas.microsoft.com/office/spreadsheetml/2010/11/main" uri="{2F2917AC-EB37-4324-AD4E-5DD8C200BD13}">
      <x15:tableSlicerCache tableId="2" column="2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City" sourceName="City">
  <extLst>
    <x:ext xmlns:x15="http://schemas.microsoft.com/office/spreadsheetml/2010/11/main" uri="{2F2917AC-EB37-4324-AD4E-5DD8C200BD13}">
      <x15:tableSlicerCache tableId="2"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Direct Deposit?" cache="Slicer_Direct_Deposit?" caption="Direct Deposit?" style="SlicerStyleLight1 big" rowHeight="548640"/>
  <slicer name="City" cache="Slicer_City" caption="City" columnCount="2" style="SlicerStyleLight1 big" rowHeight="914400"/>
</slicers>
</file>

<file path=xl/tables/table1.xml><?xml version="1.0" encoding="utf-8"?>
<table xmlns="http://schemas.openxmlformats.org/spreadsheetml/2006/main" id="2" name="Main" displayName="Main" ref="A1:T121" totalsRowCount="1" headerRowDxfId="33">
  <autoFilter ref="A1:T120"/>
  <sortState ref="A3:T121">
    <sortCondition ref="A1:A120"/>
  </sortState>
  <tableColumns count="20">
    <tableColumn id="12" name="ID#" dataDxfId="32" totalsRowDxfId="31"/>
    <tableColumn id="1" name="Employees" totalsRowFunction="sum" dataDxfId="30"/>
    <tableColumn id="17" name="Department" dataDxfId="29"/>
    <tableColumn id="5" name="$/Hour" dataDxfId="28" totalsRowDxfId="27" dataCellStyle="Currency">
      <calculatedColumnFormula>IF(Main[[#This Row],[Department]]="Management",40,IF(Main[[#This Row],[Department]]="Sales",22,IF(Main[[#This Row],[Department]]="Human Resources",28,IF(Main[[#This Row],[Department]]="Marketing",26,IF(Main[[#This Row],[Department]]="Custodial",26,"Temp")))))</calculatedColumnFormula>
    </tableColumn>
    <tableColumn id="6" name="Hours/week" dataDxfId="26"/>
    <tableColumn id="7" name="Yearly Salary" totalsRowFunction="sum" totalsRowDxfId="25" dataCellStyle="Currency">
      <calculatedColumnFormula>(Main[[#This Row],[$/Hour]]*Main[[#This Row],[Hours/week]])*52</calculatedColumnFormula>
    </tableColumn>
    <tableColumn id="8" name="Sales" totalsRowFunction="sum" dataDxfId="24" totalsRowDxfId="23" dataCellStyle="Currency"/>
    <tableColumn id="9" name="Commission" totalsRowFunction="sum" dataDxfId="22" totalsRowDxfId="21" dataCellStyle="Currency">
      <calculatedColumnFormula>IF(ISNUMBER(Main[[#This Row],[Sales]]),Main[[#This Row],[Sales]]*0.03,"-")</calculatedColumnFormula>
    </tableColumn>
    <tableColumn id="18" name="Years of Service" dataDxfId="20" totalsRowDxfId="19" dataCellStyle="Currency">
      <calculatedColumnFormula>DATEDIF(Main[[#This Row],[Date Hired]],TODAY(),"Y")</calculatedColumnFormula>
    </tableColumn>
    <tableColumn id="19" name="Longevity" totalsRowFunction="sum" totalsRowDxfId="18" dataCellStyle="Currency">
      <calculatedColumnFormula>IF(Main[[#This Row],[Years of Service]]&gt;=30,1000,IF(Main[[#This Row],[Years of Service]]&gt;=25,750,IF(Main[[#This Row],[Years of Service]]&gt;=20,500,IF(Main[[#This Row],[Years of Service]]&gt;=15,300,IF(Main[[#This Row],[Years of Service]]&gt;=10,150,IF(Main[[#This Row],[Years of Service]]&gt;=5,75,0))))))</calculatedColumnFormula>
    </tableColumn>
    <tableColumn id="10" name="Total Payments" totalsRowFunction="sum" dataDxfId="17" totalsRowDxfId="16" dataCellStyle="Currency">
      <calculatedColumnFormula>SUM(Main[[#This Row],[Longevity]],Main[[#This Row],[Yearly Salary]],Main[[#This Row],[Commission]])</calculatedColumnFormula>
    </tableColumn>
    <tableColumn id="22" name="Direct Deposit?" dataDxfId="15" totalsRowDxfId="14" dataCellStyle="Currency"/>
    <tableColumn id="11" name="Date Hired" dataDxfId="13" totalsRowDxfId="12"/>
    <tableColumn id="13" name="Work Phone #" dataDxfId="11"/>
    <tableColumn id="14" name="Email" dataDxfId="10" totalsRowDxfId="9"/>
    <tableColumn id="2" name="Address" dataDxfId="8" totalsRowDxfId="7"/>
    <tableColumn id="3" name="City" dataDxfId="6"/>
    <tableColumn id="4" name="ZIP" dataDxfId="5"/>
    <tableColumn id="16" name="Home Phone" dataDxfId="4" totalsRowDxfId="3"/>
    <tableColumn id="15" name="Age" totalsRowFunction="sum" dataDxfId="2"/>
  </tableColumns>
  <tableStyleInfo name="TableStyleMedium2" showFirstColumn="0" showLastColumn="0" showRowStripes="1" showColumnStripes="0"/>
</table>
</file>

<file path=xl/tables/table2.xml><?xml version="1.0" encoding="utf-8"?>
<table xmlns="http://schemas.openxmlformats.org/spreadsheetml/2006/main" id="1" name="Table1" displayName="Table1" ref="A1:E11" totalsRowShown="0">
  <autoFilter ref="A1:E11"/>
  <tableColumns count="5">
    <tableColumn id="1" name="Worker"/>
    <tableColumn id="2" name="Department"/>
    <tableColumn id="3" name="$/Hour" dataDxfId="1" dataCellStyle="Currency">
      <calculatedColumnFormula>IF(Table1[[#This Row],[Department]]="Management",40,IF(Table1[[#This Row],[Department]]="Sales",22,IF(Table1[[#This Row],[Department]]="Marketing",28,IF(Table1[[#This Row],[Department]]="Human Resources",28,IF(Table1[[#This Row],[Department]]="Custodial",26,IF(Table1[[#This Row],[Department]]="Temp",15,0))))))</calculatedColumnFormula>
    </tableColumn>
    <tableColumn id="4" name="hrs/week" dataDxfId="0" dataCellStyle="Comma"/>
    <tableColumn id="5" name="Yr Salary" dataCellStyle="Currency">
      <calculatedColumnFormula>Table1[[#This Row],[$/Hour]]*Table1[[#This Row],[hrs/week]]*52</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4" name="Table4" displayName="Table4" ref="B14:D17" totalsRowShown="0">
  <autoFilter ref="B14:D17"/>
  <tableColumns count="3">
    <tableColumn id="1" name="Column1"/>
    <tableColumn id="2" name="Full Timers"/>
    <tableColumn id="3" name="Part Timers"/>
  </tableColumns>
  <tableStyleInfo name="TableStyleMedium4" showFirstColumn="0" showLastColumn="0" showRowStripes="1" showColumnStripes="0"/>
</table>
</file>

<file path=xl/tables/table4.xml><?xml version="1.0" encoding="utf-8"?>
<table xmlns="http://schemas.openxmlformats.org/spreadsheetml/2006/main" id="5" name="Table5" displayName="Table5" ref="B19:E24" totalsRowShown="0">
  <autoFilter ref="B19:E24"/>
  <tableColumns count="4">
    <tableColumn id="1" name="Department"/>
    <tableColumn id="2" name="Total Salary">
      <calculatedColumnFormula>SUMIF(Table1[Department],B20,Table1[Yr Salary])</calculatedColumnFormula>
    </tableColumn>
    <tableColumn id="3" name="Average Salary">
      <calculatedColumnFormula>AVERAGEIF(Table1[Department],B20,Table1[Yr Salary])</calculatedColumnFormula>
    </tableColumn>
    <tableColumn id="4" name="Total Workers">
      <calculatedColumnFormula>COUNTIF(Table1[Department],B20)</calculatedColumnFormula>
    </tableColumn>
  </tableColumns>
  <tableStyleInfo name="TableStyleMedium6" showFirstColumn="0" showLastColumn="0" showRowStripes="1" showColumnStripes="0"/>
</table>
</file>

<file path=xl/tables/table5.xml><?xml version="1.0" encoding="utf-8"?>
<table xmlns="http://schemas.openxmlformats.org/spreadsheetml/2006/main" id="3" name="Table14" displayName="Table14" ref="E1:G5" totalsRowShown="0">
  <autoFilter ref="E1:G5"/>
  <tableColumns count="3">
    <tableColumn id="1" name="Item"/>
    <tableColumn id="2" name="Quanitity"/>
    <tableColumn id="3" name="Price">
      <calculatedColumnFormula>SUMIF($B$1:$B$5,Table14[[#This Row],[Item]],$C$1:$C$5)*Table14[[#This Row],[Quanitity]]</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1"/>
  <sheetViews>
    <sheetView topLeftCell="H1" zoomScaleNormal="100" workbookViewId="0">
      <selection activeCell="P6" sqref="P6"/>
    </sheetView>
  </sheetViews>
  <sheetFormatPr defaultRowHeight="15" x14ac:dyDescent="0.25"/>
  <cols>
    <col min="1" max="1" width="6" style="15" bestFit="1" customWidth="1"/>
    <col min="2" max="2" width="26.28515625" bestFit="1" customWidth="1"/>
    <col min="3" max="3" width="16.85546875" bestFit="1" customWidth="1"/>
    <col min="4" max="4" width="8" style="9" bestFit="1" customWidth="1"/>
    <col min="5" max="5" width="11.85546875" bestFit="1" customWidth="1"/>
    <col min="6" max="7" width="14.28515625" style="9" bestFit="1" customWidth="1"/>
    <col min="8" max="8" width="12.5703125" style="22" bestFit="1" customWidth="1"/>
    <col min="9" max="9" width="10.42578125" style="22" bestFit="1" customWidth="1"/>
    <col min="10" max="10" width="13.28515625" style="10" bestFit="1" customWidth="1"/>
    <col min="11" max="12" width="15.140625" style="9" bestFit="1" customWidth="1"/>
    <col min="13" max="13" width="10.7109375" bestFit="1" customWidth="1"/>
    <col min="14" max="14" width="16.42578125" style="11" bestFit="1" customWidth="1"/>
    <col min="15" max="15" width="28.85546875" style="13" bestFit="1" customWidth="1"/>
    <col min="16" max="16" width="27.42578125" style="14" bestFit="1" customWidth="1"/>
    <col min="17" max="17" width="12.140625" bestFit="1" customWidth="1"/>
    <col min="18" max="18" width="6" style="12" bestFit="1" customWidth="1"/>
    <col min="19" max="19" width="17" bestFit="1" customWidth="1"/>
    <col min="20" max="20" width="5" bestFit="1" customWidth="1"/>
  </cols>
  <sheetData>
    <row r="1" spans="1:20" s="3" customFormat="1" ht="30" x14ac:dyDescent="0.25">
      <c r="A1" s="2" t="s">
        <v>7</v>
      </c>
      <c r="B1" s="3" t="s">
        <v>8</v>
      </c>
      <c r="C1" s="3" t="s">
        <v>9</v>
      </c>
      <c r="D1" s="4" t="s">
        <v>10</v>
      </c>
      <c r="E1" s="3" t="s">
        <v>11</v>
      </c>
      <c r="F1" s="4" t="s">
        <v>12</v>
      </c>
      <c r="G1" s="4" t="s">
        <v>13</v>
      </c>
      <c r="H1" s="3" t="s">
        <v>14</v>
      </c>
      <c r="I1" s="3" t="s">
        <v>15</v>
      </c>
      <c r="J1" s="4" t="s">
        <v>16</v>
      </c>
      <c r="K1" s="4" t="s">
        <v>17</v>
      </c>
      <c r="L1" s="4" t="s">
        <v>18</v>
      </c>
      <c r="M1" s="5" t="s">
        <v>19</v>
      </c>
      <c r="N1" s="3" t="s">
        <v>20</v>
      </c>
      <c r="O1" s="6" t="s">
        <v>21</v>
      </c>
      <c r="P1" s="3" t="s">
        <v>22</v>
      </c>
      <c r="Q1" s="3" t="s">
        <v>23</v>
      </c>
      <c r="R1" s="3" t="s">
        <v>24</v>
      </c>
      <c r="S1" s="7" t="s">
        <v>25</v>
      </c>
      <c r="T1" s="3" t="s">
        <v>26</v>
      </c>
    </row>
    <row r="2" spans="1:20" x14ac:dyDescent="0.25">
      <c r="A2" s="8">
        <v>1</v>
      </c>
      <c r="B2" t="s">
        <v>27</v>
      </c>
      <c r="C2" t="s">
        <v>28</v>
      </c>
      <c r="D2" s="9">
        <f>IF(Main[[#This Row],[Department]]="Management",40,IF(Main[[#This Row],[Department]]="Sales",22,IF(Main[[#This Row],[Department]]="Human Resources",28,IF(Main[[#This Row],[Department]]="Marketing",26,IF(Main[[#This Row],[Department]]="Custodial",26,"Temp")))))</f>
        <v>40</v>
      </c>
      <c r="E2">
        <v>37.5</v>
      </c>
      <c r="F2" s="9">
        <f>(Main[[#This Row],[$/Hour]]*Main[[#This Row],[Hours/week]])*52</f>
        <v>78000</v>
      </c>
      <c r="G2" s="10" t="s">
        <v>29</v>
      </c>
      <c r="H2" s="10" t="str">
        <f>IF(ISNUMBER(Main[[#This Row],[Sales]]),Main[[#This Row],[Sales]]*0.03,"-")</f>
        <v>-</v>
      </c>
      <c r="I2">
        <f ca="1">DATEDIF(Main[[#This Row],[Date Hired]],TODAY(),"Y")</f>
        <v>17</v>
      </c>
      <c r="J2" s="9">
        <f ca="1">IF(Main[[#This Row],[Years of Service]]&gt;=30,1000,IF(Main[[#This Row],[Years of Service]]&gt;=25,750,IF(Main[[#This Row],[Years of Service]]&gt;=20,500,IF(Main[[#This Row],[Years of Service]]&gt;=15,300,IF(Main[[#This Row],[Years of Service]]&gt;=10,150,IF(Main[[#This Row],[Years of Service]]&gt;=5,75,0))))))</f>
        <v>300</v>
      </c>
      <c r="K2" s="9">
        <f ca="1">SUM(Main[[#This Row],[Longevity]],Main[[#This Row],[Yearly Salary]],Main[[#This Row],[Commission]])</f>
        <v>78300</v>
      </c>
      <c r="L2" s="9" t="s">
        <v>30</v>
      </c>
      <c r="M2" s="11">
        <v>37166</v>
      </c>
      <c r="N2" s="12">
        <v>2032872344</v>
      </c>
      <c r="O2" s="13" t="s">
        <v>31</v>
      </c>
      <c r="P2" s="14" t="s">
        <v>32</v>
      </c>
      <c r="Q2" t="s">
        <v>33</v>
      </c>
      <c r="R2" s="23">
        <v>6473</v>
      </c>
      <c r="S2" s="12">
        <v>2039369556</v>
      </c>
      <c r="T2">
        <v>55</v>
      </c>
    </row>
    <row r="3" spans="1:20" x14ac:dyDescent="0.25">
      <c r="A3" s="8">
        <v>2</v>
      </c>
      <c r="B3" t="s">
        <v>34</v>
      </c>
      <c r="C3" t="s">
        <v>28</v>
      </c>
      <c r="D3" s="9">
        <f>IF(Main[[#This Row],[Department]]="Management",40,IF(Main[[#This Row],[Department]]="Sales",22,IF(Main[[#This Row],[Department]]="Human Resources",28,IF(Main[[#This Row],[Department]]="Marketing",26,IF(Main[[#This Row],[Department]]="Custodial",26,"Temp")))))</f>
        <v>40</v>
      </c>
      <c r="E3">
        <v>37.5</v>
      </c>
      <c r="F3" s="9">
        <f>(Main[[#This Row],[$/Hour]]*Main[[#This Row],[Hours/week]])*52</f>
        <v>78000</v>
      </c>
      <c r="G3" s="10" t="s">
        <v>29</v>
      </c>
      <c r="H3" s="10" t="str">
        <f>IF(ISNUMBER(Main[[#This Row],[Sales]]),Main[[#This Row],[Sales]]*0.03,"-")</f>
        <v>-</v>
      </c>
      <c r="I3">
        <f ca="1">DATEDIF(Main[[#This Row],[Date Hired]],TODAY(),"Y")</f>
        <v>14</v>
      </c>
      <c r="J3" s="9">
        <f ca="1">IF(Main[[#This Row],[Years of Service]]&gt;=30,1000,IF(Main[[#This Row],[Years of Service]]&gt;=25,750,IF(Main[[#This Row],[Years of Service]]&gt;=20,500,IF(Main[[#This Row],[Years of Service]]&gt;=15,300,IF(Main[[#This Row],[Years of Service]]&gt;=10,150,IF(Main[[#This Row],[Years of Service]]&gt;=5,75,0))))))</f>
        <v>150</v>
      </c>
      <c r="K3" s="9">
        <f ca="1">SUM(Main[[#This Row],[Longevity]],Main[[#This Row],[Yearly Salary]],Main[[#This Row],[Commission]])</f>
        <v>78150</v>
      </c>
      <c r="L3" s="9" t="s">
        <v>35</v>
      </c>
      <c r="M3" s="11">
        <v>38154</v>
      </c>
      <c r="N3" s="12">
        <v>2032872668</v>
      </c>
      <c r="O3" s="13" t="s">
        <v>36</v>
      </c>
      <c r="P3" s="14" t="s">
        <v>37</v>
      </c>
      <c r="Q3" t="s">
        <v>38</v>
      </c>
      <c r="R3" s="23">
        <v>6494</v>
      </c>
      <c r="S3" s="12">
        <v>2035317502</v>
      </c>
      <c r="T3">
        <v>40</v>
      </c>
    </row>
    <row r="4" spans="1:20" x14ac:dyDescent="0.25">
      <c r="A4" s="8">
        <v>3</v>
      </c>
      <c r="B4" t="s">
        <v>39</v>
      </c>
      <c r="C4" t="s">
        <v>28</v>
      </c>
      <c r="D4" s="9">
        <f>IF(Main[[#This Row],[Department]]="Management",40,IF(Main[[#This Row],[Department]]="Sales",22,IF(Main[[#This Row],[Department]]="Human Resources",28,IF(Main[[#This Row],[Department]]="Marketing",26,IF(Main[[#This Row],[Department]]="Custodial",26,"Temp")))))</f>
        <v>40</v>
      </c>
      <c r="E4">
        <v>37.5</v>
      </c>
      <c r="F4" s="9">
        <f>(Main[[#This Row],[$/Hour]]*Main[[#This Row],[Hours/week]])*52</f>
        <v>78000</v>
      </c>
      <c r="G4" s="10" t="s">
        <v>29</v>
      </c>
      <c r="H4" s="10" t="str">
        <f>IF(ISNUMBER(Main[[#This Row],[Sales]]),Main[[#This Row],[Sales]]*0.03,"-")</f>
        <v>-</v>
      </c>
      <c r="I4">
        <f ca="1">DATEDIF(Main[[#This Row],[Date Hired]],TODAY(),"Y")</f>
        <v>30</v>
      </c>
      <c r="J4" s="9">
        <f ca="1">IF(Main[[#This Row],[Years of Service]]&gt;=30,1000,IF(Main[[#This Row],[Years of Service]]&gt;=25,750,IF(Main[[#This Row],[Years of Service]]&gt;=20,500,IF(Main[[#This Row],[Years of Service]]&gt;=15,300,IF(Main[[#This Row],[Years of Service]]&gt;=10,150,IF(Main[[#This Row],[Years of Service]]&gt;=5,75,0))))))</f>
        <v>1000</v>
      </c>
      <c r="K4" s="9">
        <f ca="1">SUM(Main[[#This Row],[Longevity]],Main[[#This Row],[Yearly Salary]],Main[[#This Row],[Commission]])</f>
        <v>79000</v>
      </c>
      <c r="L4" s="9" t="s">
        <v>30</v>
      </c>
      <c r="M4" s="11">
        <v>32236</v>
      </c>
      <c r="N4" s="12">
        <v>2032872360</v>
      </c>
      <c r="O4" s="13" t="s">
        <v>40</v>
      </c>
      <c r="P4" s="14" t="s">
        <v>41</v>
      </c>
      <c r="Q4" t="s">
        <v>42</v>
      </c>
      <c r="R4" s="23">
        <v>6514</v>
      </c>
      <c r="S4" s="12">
        <v>2038791745</v>
      </c>
      <c r="T4">
        <v>67</v>
      </c>
    </row>
    <row r="5" spans="1:20" x14ac:dyDescent="0.25">
      <c r="A5" s="8">
        <v>4</v>
      </c>
      <c r="B5" t="s">
        <v>43</v>
      </c>
      <c r="C5" t="s">
        <v>28</v>
      </c>
      <c r="D5" s="9">
        <f>IF(Main[[#This Row],[Department]]="Management",40,IF(Main[[#This Row],[Department]]="Sales",22,IF(Main[[#This Row],[Department]]="Human Resources",28,IF(Main[[#This Row],[Department]]="Marketing",26,IF(Main[[#This Row],[Department]]="Custodial",26,"Temp")))))</f>
        <v>40</v>
      </c>
      <c r="E5">
        <v>35</v>
      </c>
      <c r="F5" s="9">
        <f>(Main[[#This Row],[$/Hour]]*Main[[#This Row],[Hours/week]])*52</f>
        <v>72800</v>
      </c>
      <c r="G5" s="10" t="s">
        <v>29</v>
      </c>
      <c r="H5" s="10" t="str">
        <f>IF(ISNUMBER(Main[[#This Row],[Sales]]),Main[[#This Row],[Sales]]*0.03,"-")</f>
        <v>-</v>
      </c>
      <c r="I5">
        <f ca="1">DATEDIF(Main[[#This Row],[Date Hired]],TODAY(),"Y")</f>
        <v>32</v>
      </c>
      <c r="J5" s="9">
        <f ca="1">IF(Main[[#This Row],[Years of Service]]&gt;=30,1000,IF(Main[[#This Row],[Years of Service]]&gt;=25,750,IF(Main[[#This Row],[Years of Service]]&gt;=20,500,IF(Main[[#This Row],[Years of Service]]&gt;=15,300,IF(Main[[#This Row],[Years of Service]]&gt;=10,150,IF(Main[[#This Row],[Years of Service]]&gt;=5,75,0))))))</f>
        <v>1000</v>
      </c>
      <c r="K5" s="9">
        <f ca="1">SUM(Main[[#This Row],[Longevity]],Main[[#This Row],[Yearly Salary]],Main[[#This Row],[Commission]])</f>
        <v>73800</v>
      </c>
      <c r="L5" s="9" t="s">
        <v>35</v>
      </c>
      <c r="M5" s="11">
        <v>31807</v>
      </c>
      <c r="N5" s="12">
        <v>2032872392</v>
      </c>
      <c r="O5" s="13" t="s">
        <v>44</v>
      </c>
      <c r="P5" s="14" t="s">
        <v>45</v>
      </c>
      <c r="Q5" t="s">
        <v>46</v>
      </c>
      <c r="R5" s="23">
        <v>6512</v>
      </c>
      <c r="S5" s="12">
        <v>5959424361</v>
      </c>
      <c r="T5">
        <v>69</v>
      </c>
    </row>
    <row r="6" spans="1:20" x14ac:dyDescent="0.25">
      <c r="A6" s="8">
        <v>5</v>
      </c>
      <c r="B6" t="s">
        <v>47</v>
      </c>
      <c r="C6" t="s">
        <v>28</v>
      </c>
      <c r="D6" s="9">
        <f>IF(Main[[#This Row],[Department]]="Management",40,IF(Main[[#This Row],[Department]]="Sales",22,IF(Main[[#This Row],[Department]]="Human Resources",28,IF(Main[[#This Row],[Department]]="Marketing",26,IF(Main[[#This Row],[Department]]="Custodial",26,"Temp")))))</f>
        <v>40</v>
      </c>
      <c r="E6">
        <v>35</v>
      </c>
      <c r="F6" s="9">
        <f>(Main[[#This Row],[$/Hour]]*Main[[#This Row],[Hours/week]])*52</f>
        <v>72800</v>
      </c>
      <c r="G6" s="10" t="s">
        <v>29</v>
      </c>
      <c r="H6" s="10" t="str">
        <f>IF(ISNUMBER(Main[[#This Row],[Sales]]),Main[[#This Row],[Sales]]*0.03,"-")</f>
        <v>-</v>
      </c>
      <c r="I6">
        <f ca="1">DATEDIF(Main[[#This Row],[Date Hired]],TODAY(),"Y")</f>
        <v>29</v>
      </c>
      <c r="J6" s="9">
        <f ca="1">IF(Main[[#This Row],[Years of Service]]&gt;=30,1000,IF(Main[[#This Row],[Years of Service]]&gt;=25,750,IF(Main[[#This Row],[Years of Service]]&gt;=20,500,IF(Main[[#This Row],[Years of Service]]&gt;=15,300,IF(Main[[#This Row],[Years of Service]]&gt;=10,150,IF(Main[[#This Row],[Years of Service]]&gt;=5,75,0))))))</f>
        <v>750</v>
      </c>
      <c r="K6" s="9">
        <f ca="1">SUM(Main[[#This Row],[Longevity]],Main[[#This Row],[Yearly Salary]],Main[[#This Row],[Commission]])</f>
        <v>73550</v>
      </c>
      <c r="L6" s="9" t="s">
        <v>35</v>
      </c>
      <c r="M6" s="11">
        <v>32785</v>
      </c>
      <c r="N6" s="12">
        <v>2032872379</v>
      </c>
      <c r="O6" s="13" t="s">
        <v>48</v>
      </c>
      <c r="P6" s="14" t="s">
        <v>49</v>
      </c>
      <c r="Q6" t="s">
        <v>50</v>
      </c>
      <c r="R6" s="23">
        <v>6410</v>
      </c>
      <c r="S6" s="12">
        <v>2034302624</v>
      </c>
      <c r="T6">
        <v>67</v>
      </c>
    </row>
    <row r="7" spans="1:20" x14ac:dyDescent="0.25">
      <c r="A7" s="8">
        <v>6</v>
      </c>
      <c r="B7" t="s">
        <v>51</v>
      </c>
      <c r="C7" t="s">
        <v>13</v>
      </c>
      <c r="D7" s="9">
        <f>IF(Main[[#This Row],[Department]]="Management",40,IF(Main[[#This Row],[Department]]="Sales",22,IF(Main[[#This Row],[Department]]="Human Resources",28,IF(Main[[#This Row],[Department]]="Marketing",26,IF(Main[[#This Row],[Department]]="Custodial",26,"Temp")))))</f>
        <v>22</v>
      </c>
      <c r="E7">
        <v>37.5</v>
      </c>
      <c r="F7" s="9">
        <f>(Main[[#This Row],[$/Hour]]*Main[[#This Row],[Hours/week]])*52</f>
        <v>42900</v>
      </c>
      <c r="G7" s="10">
        <v>95550</v>
      </c>
      <c r="H7" s="10">
        <f>IF(ISNUMBER(Main[[#This Row],[Sales]]),Main[[#This Row],[Sales]]*0.03,"-")</f>
        <v>2866.5</v>
      </c>
      <c r="I7">
        <f ca="1">DATEDIF(Main[[#This Row],[Date Hired]],TODAY(),"Y")</f>
        <v>32</v>
      </c>
      <c r="J7" s="9">
        <f ca="1">IF(Main[[#This Row],[Years of Service]]&gt;=30,1000,IF(Main[[#This Row],[Years of Service]]&gt;=25,750,IF(Main[[#This Row],[Years of Service]]&gt;=20,500,IF(Main[[#This Row],[Years of Service]]&gt;=15,300,IF(Main[[#This Row],[Years of Service]]&gt;=10,150,IF(Main[[#This Row],[Years of Service]]&gt;=5,75,0))))))</f>
        <v>1000</v>
      </c>
      <c r="K7" s="9">
        <f ca="1">SUM(Main[[#This Row],[Longevity]],Main[[#This Row],[Yearly Salary]],Main[[#This Row],[Commission]])</f>
        <v>46766.5</v>
      </c>
      <c r="L7" s="9" t="s">
        <v>35</v>
      </c>
      <c r="M7" s="11">
        <v>31816</v>
      </c>
      <c r="N7" s="12">
        <v>2032872625</v>
      </c>
      <c r="O7" s="13" t="s">
        <v>52</v>
      </c>
      <c r="P7" s="14" t="s">
        <v>53</v>
      </c>
      <c r="Q7" t="s">
        <v>38</v>
      </c>
      <c r="R7" s="23">
        <v>6492</v>
      </c>
      <c r="S7" s="12">
        <v>2035243200</v>
      </c>
      <c r="T7">
        <v>69</v>
      </c>
    </row>
    <row r="8" spans="1:20" x14ac:dyDescent="0.25">
      <c r="A8" s="8">
        <v>7</v>
      </c>
      <c r="B8" t="s">
        <v>54</v>
      </c>
      <c r="C8" t="s">
        <v>13</v>
      </c>
      <c r="D8" s="9">
        <f>IF(Main[[#This Row],[Department]]="Management",40,IF(Main[[#This Row],[Department]]="Sales",22,IF(Main[[#This Row],[Department]]="Human Resources",28,IF(Main[[#This Row],[Department]]="Marketing",26,IF(Main[[#This Row],[Department]]="Custodial",26,"Temp")))))</f>
        <v>22</v>
      </c>
      <c r="E8">
        <v>35</v>
      </c>
      <c r="F8" s="9">
        <f>(Main[[#This Row],[$/Hour]]*Main[[#This Row],[Hours/week]])*52</f>
        <v>40040</v>
      </c>
      <c r="G8" s="10">
        <v>65520</v>
      </c>
      <c r="H8" s="10">
        <f>IF(ISNUMBER(Main[[#This Row],[Sales]]),Main[[#This Row],[Sales]]*0.03,"-")</f>
        <v>1965.6</v>
      </c>
      <c r="I8">
        <f ca="1">DATEDIF(Main[[#This Row],[Date Hired]],TODAY(),"Y")</f>
        <v>22</v>
      </c>
      <c r="J8" s="9">
        <f ca="1">IF(Main[[#This Row],[Years of Service]]&gt;=30,1000,IF(Main[[#This Row],[Years of Service]]&gt;=25,750,IF(Main[[#This Row],[Years of Service]]&gt;=20,500,IF(Main[[#This Row],[Years of Service]]&gt;=15,300,IF(Main[[#This Row],[Years of Service]]&gt;=10,150,IF(Main[[#This Row],[Years of Service]]&gt;=5,75,0))))))</f>
        <v>500</v>
      </c>
      <c r="K8" s="9">
        <f ca="1">SUM(Main[[#This Row],[Longevity]],Main[[#This Row],[Yearly Salary]],Main[[#This Row],[Commission]])</f>
        <v>42505.599999999999</v>
      </c>
      <c r="L8" s="9" t="s">
        <v>35</v>
      </c>
      <c r="M8" s="11">
        <v>35230</v>
      </c>
      <c r="N8" s="12">
        <v>2032872383</v>
      </c>
      <c r="O8" s="13" t="s">
        <v>55</v>
      </c>
      <c r="P8" s="14" t="s">
        <v>56</v>
      </c>
      <c r="Q8" t="s">
        <v>33</v>
      </c>
      <c r="R8" s="23">
        <v>6473</v>
      </c>
      <c r="S8" s="12">
        <v>2036704583</v>
      </c>
      <c r="T8">
        <v>43</v>
      </c>
    </row>
    <row r="9" spans="1:20" x14ac:dyDescent="0.25">
      <c r="A9" s="8">
        <v>8</v>
      </c>
      <c r="B9" t="s">
        <v>57</v>
      </c>
      <c r="C9" t="s">
        <v>58</v>
      </c>
      <c r="D9" s="9">
        <f>IF(Main[[#This Row],[Department]]="Management",40,IF(Main[[#This Row],[Department]]="Sales",22,IF(Main[[#This Row],[Department]]="Human Resources",28,IF(Main[[#This Row],[Department]]="Marketing",26,IF(Main[[#This Row],[Department]]="Custodial",26,"Temp")))))</f>
        <v>28</v>
      </c>
      <c r="E9">
        <v>19.5</v>
      </c>
      <c r="F9" s="9">
        <f>(Main[[#This Row],[$/Hour]]*Main[[#This Row],[Hours/week]])*52</f>
        <v>28392</v>
      </c>
      <c r="G9" s="10" t="s">
        <v>29</v>
      </c>
      <c r="H9" s="10" t="str">
        <f>IF(ISNUMBER(Main[[#This Row],[Sales]]),Main[[#This Row],[Sales]]*0.03,"-")</f>
        <v>-</v>
      </c>
      <c r="I9">
        <f ca="1">DATEDIF(Main[[#This Row],[Date Hired]],TODAY(),"Y")</f>
        <v>23</v>
      </c>
      <c r="J9" s="9">
        <f ca="1">IF(Main[[#This Row],[Years of Service]]&gt;=30,1000,IF(Main[[#This Row],[Years of Service]]&gt;=25,750,IF(Main[[#This Row],[Years of Service]]&gt;=20,500,IF(Main[[#This Row],[Years of Service]]&gt;=15,300,IF(Main[[#This Row],[Years of Service]]&gt;=10,150,IF(Main[[#This Row],[Years of Service]]&gt;=5,75,0))))))</f>
        <v>500</v>
      </c>
      <c r="K9" s="9">
        <f ca="1">SUM(Main[[#This Row],[Longevity]],Main[[#This Row],[Yearly Salary]],Main[[#This Row],[Commission]])</f>
        <v>28892</v>
      </c>
      <c r="L9" s="9" t="s">
        <v>35</v>
      </c>
      <c r="M9" s="11">
        <v>35068</v>
      </c>
      <c r="N9" s="12">
        <v>2032872343</v>
      </c>
      <c r="O9" s="13" t="s">
        <v>59</v>
      </c>
      <c r="P9" s="14" t="s">
        <v>60</v>
      </c>
      <c r="Q9" t="s">
        <v>33</v>
      </c>
      <c r="R9" s="23">
        <v>6473</v>
      </c>
      <c r="S9" s="12">
        <v>2037248339</v>
      </c>
      <c r="T9">
        <v>53</v>
      </c>
    </row>
    <row r="10" spans="1:20" x14ac:dyDescent="0.25">
      <c r="A10" s="8">
        <v>9</v>
      </c>
      <c r="B10" t="s">
        <v>61</v>
      </c>
      <c r="C10" t="s">
        <v>62</v>
      </c>
      <c r="D10" s="9">
        <f>IF(Main[[#This Row],[Department]]="Management",40,IF(Main[[#This Row],[Department]]="Sales",22,IF(Main[[#This Row],[Department]]="Human Resources",28,IF(Main[[#This Row],[Department]]="Marketing",26,IF(Main[[#This Row],[Department]]="Custodial",26,"Temp")))))</f>
        <v>26</v>
      </c>
      <c r="E10">
        <v>35</v>
      </c>
      <c r="F10" s="9">
        <f>(Main[[#This Row],[$/Hour]]*Main[[#This Row],[Hours/week]])*52</f>
        <v>47320</v>
      </c>
      <c r="G10" s="10" t="s">
        <v>29</v>
      </c>
      <c r="H10" s="10" t="str">
        <f>IF(ISNUMBER(Main[[#This Row],[Sales]]),Main[[#This Row],[Sales]]*0.03,"-")</f>
        <v>-</v>
      </c>
      <c r="I10">
        <f ca="1">DATEDIF(Main[[#This Row],[Date Hired]],TODAY(),"Y")</f>
        <v>6</v>
      </c>
      <c r="J10" s="9">
        <f ca="1">IF(Main[[#This Row],[Years of Service]]&gt;=30,1000,IF(Main[[#This Row],[Years of Service]]&gt;=25,750,IF(Main[[#This Row],[Years of Service]]&gt;=20,500,IF(Main[[#This Row],[Years of Service]]&gt;=15,300,IF(Main[[#This Row],[Years of Service]]&gt;=10,150,IF(Main[[#This Row],[Years of Service]]&gt;=5,75,0))))))</f>
        <v>75</v>
      </c>
      <c r="K10" s="9">
        <f ca="1">SUM(Main[[#This Row],[Longevity]],Main[[#This Row],[Yearly Salary]],Main[[#This Row],[Commission]])</f>
        <v>47395</v>
      </c>
      <c r="L10" s="9" t="s">
        <v>30</v>
      </c>
      <c r="M10" s="11">
        <v>41095</v>
      </c>
      <c r="N10" s="12">
        <v>2032872675</v>
      </c>
      <c r="O10" s="13" t="s">
        <v>63</v>
      </c>
      <c r="P10" s="14" t="s">
        <v>64</v>
      </c>
      <c r="Q10" t="s">
        <v>42</v>
      </c>
      <c r="R10" s="23">
        <v>6514</v>
      </c>
      <c r="S10" s="12">
        <v>2032118487</v>
      </c>
      <c r="T10">
        <v>36</v>
      </c>
    </row>
    <row r="11" spans="1:20" x14ac:dyDescent="0.25">
      <c r="A11" s="8">
        <v>10</v>
      </c>
      <c r="B11" t="s">
        <v>65</v>
      </c>
      <c r="C11" t="s">
        <v>13</v>
      </c>
      <c r="D11" s="9">
        <f>IF(Main[[#This Row],[Department]]="Management",40,IF(Main[[#This Row],[Department]]="Sales",22,IF(Main[[#This Row],[Department]]="Human Resources",28,IF(Main[[#This Row],[Department]]="Marketing",26,IF(Main[[#This Row],[Department]]="Custodial",26,"Temp")))))</f>
        <v>22</v>
      </c>
      <c r="E11">
        <v>35</v>
      </c>
      <c r="F11" s="9">
        <f>(Main[[#This Row],[$/Hour]]*Main[[#This Row],[Hours/week]])*52</f>
        <v>40040</v>
      </c>
      <c r="G11" s="10">
        <v>80080</v>
      </c>
      <c r="H11" s="10">
        <f>IF(ISNUMBER(Main[[#This Row],[Sales]]),Main[[#This Row],[Sales]]*0.03,"-")</f>
        <v>2402.4</v>
      </c>
      <c r="I11">
        <f ca="1">DATEDIF(Main[[#This Row],[Date Hired]],TODAY(),"Y")</f>
        <v>10</v>
      </c>
      <c r="J11" s="9">
        <f ca="1">IF(Main[[#This Row],[Years of Service]]&gt;=30,1000,IF(Main[[#This Row],[Years of Service]]&gt;=25,750,IF(Main[[#This Row],[Years of Service]]&gt;=20,500,IF(Main[[#This Row],[Years of Service]]&gt;=15,300,IF(Main[[#This Row],[Years of Service]]&gt;=10,150,IF(Main[[#This Row],[Years of Service]]&gt;=5,75,0))))))</f>
        <v>150</v>
      </c>
      <c r="K11" s="9">
        <f ca="1">SUM(Main[[#This Row],[Longevity]],Main[[#This Row],[Yearly Salary]],Main[[#This Row],[Commission]])</f>
        <v>42592.4</v>
      </c>
      <c r="L11" s="9" t="s">
        <v>35</v>
      </c>
      <c r="M11" s="11">
        <v>39664</v>
      </c>
      <c r="N11" s="12">
        <v>2032872396</v>
      </c>
      <c r="O11" s="13" t="s">
        <v>66</v>
      </c>
      <c r="P11" s="14" t="s">
        <v>67</v>
      </c>
      <c r="Q11" t="s">
        <v>33</v>
      </c>
      <c r="R11" s="23">
        <v>6473</v>
      </c>
      <c r="S11" s="12">
        <v>2033423072</v>
      </c>
      <c r="T11">
        <v>31</v>
      </c>
    </row>
    <row r="12" spans="1:20" x14ac:dyDescent="0.25">
      <c r="A12" s="8">
        <v>11</v>
      </c>
      <c r="B12" t="s">
        <v>68</v>
      </c>
      <c r="C12" t="s">
        <v>13</v>
      </c>
      <c r="D12" s="9">
        <f>IF(Main[[#This Row],[Department]]="Management",40,IF(Main[[#This Row],[Department]]="Sales",22,IF(Main[[#This Row],[Department]]="Human Resources",28,IF(Main[[#This Row],[Department]]="Marketing",26,IF(Main[[#This Row],[Department]]="Custodial",26,"Temp")))))</f>
        <v>22</v>
      </c>
      <c r="E12">
        <v>19.5</v>
      </c>
      <c r="F12" s="9">
        <f>(Main[[#This Row],[$/Hour]]*Main[[#This Row],[Hours/week]])*52</f>
        <v>22308</v>
      </c>
      <c r="G12" s="10">
        <v>77064</v>
      </c>
      <c r="H12" s="10">
        <f>IF(ISNUMBER(Main[[#This Row],[Sales]]),Main[[#This Row],[Sales]]*0.03,"-")</f>
        <v>2311.92</v>
      </c>
      <c r="I12">
        <f ca="1">DATEDIF(Main[[#This Row],[Date Hired]],TODAY(),"Y")</f>
        <v>11</v>
      </c>
      <c r="J12" s="9">
        <f ca="1">IF(Main[[#This Row],[Years of Service]]&gt;=30,1000,IF(Main[[#This Row],[Years of Service]]&gt;=25,750,IF(Main[[#This Row],[Years of Service]]&gt;=20,500,IF(Main[[#This Row],[Years of Service]]&gt;=15,300,IF(Main[[#This Row],[Years of Service]]&gt;=10,150,IF(Main[[#This Row],[Years of Service]]&gt;=5,75,0))))))</f>
        <v>150</v>
      </c>
      <c r="K12" s="9">
        <f ca="1">SUM(Main[[#This Row],[Longevity]],Main[[#This Row],[Yearly Salary]],Main[[#This Row],[Commission]])</f>
        <v>24769.919999999998</v>
      </c>
      <c r="L12" s="9" t="s">
        <v>35</v>
      </c>
      <c r="M12" s="11">
        <v>39531</v>
      </c>
      <c r="N12" s="12">
        <v>2032872685</v>
      </c>
      <c r="O12" s="13" t="s">
        <v>69</v>
      </c>
      <c r="P12" s="14" t="s">
        <v>70</v>
      </c>
      <c r="Q12" t="s">
        <v>33</v>
      </c>
      <c r="R12" s="16">
        <v>6473</v>
      </c>
      <c r="S12" s="12">
        <v>2036333065</v>
      </c>
      <c r="T12">
        <v>48</v>
      </c>
    </row>
    <row r="13" spans="1:20" x14ac:dyDescent="0.25">
      <c r="A13" s="8">
        <v>12</v>
      </c>
      <c r="B13" t="s">
        <v>71</v>
      </c>
      <c r="C13" t="s">
        <v>13</v>
      </c>
      <c r="D13" s="9">
        <f>IF(Main[[#This Row],[Department]]="Management",40,IF(Main[[#This Row],[Department]]="Sales",22,IF(Main[[#This Row],[Department]]="Human Resources",28,IF(Main[[#This Row],[Department]]="Marketing",26,IF(Main[[#This Row],[Department]]="Custodial",26,"Temp")))))</f>
        <v>22</v>
      </c>
      <c r="E13">
        <v>37.5</v>
      </c>
      <c r="F13" s="9">
        <f>(Main[[#This Row],[$/Hour]]*Main[[#This Row],[Hours/week]])*52</f>
        <v>42900</v>
      </c>
      <c r="G13" s="10">
        <v>78000</v>
      </c>
      <c r="H13" s="10">
        <f>IF(ISNUMBER(Main[[#This Row],[Sales]]),Main[[#This Row],[Sales]]*0.03,"-")</f>
        <v>2340</v>
      </c>
      <c r="I13">
        <f ca="1">DATEDIF(Main[[#This Row],[Date Hired]],TODAY(),"Y")</f>
        <v>29</v>
      </c>
      <c r="J13" s="9">
        <f ca="1">IF(Main[[#This Row],[Years of Service]]&gt;=30,1000,IF(Main[[#This Row],[Years of Service]]&gt;=25,750,IF(Main[[#This Row],[Years of Service]]&gt;=20,500,IF(Main[[#This Row],[Years of Service]]&gt;=15,300,IF(Main[[#This Row],[Years of Service]]&gt;=10,150,IF(Main[[#This Row],[Years of Service]]&gt;=5,75,0))))))</f>
        <v>750</v>
      </c>
      <c r="K13" s="9">
        <f ca="1">SUM(Main[[#This Row],[Longevity]],Main[[#This Row],[Yearly Salary]],Main[[#This Row],[Commission]])</f>
        <v>45990</v>
      </c>
      <c r="L13" s="9" t="s">
        <v>30</v>
      </c>
      <c r="M13" s="11">
        <v>32854</v>
      </c>
      <c r="N13" s="12">
        <v>2032872657</v>
      </c>
      <c r="O13" s="13" t="s">
        <v>72</v>
      </c>
      <c r="P13" s="14" t="s">
        <v>73</v>
      </c>
      <c r="Q13" t="s">
        <v>38</v>
      </c>
      <c r="R13" s="16">
        <v>6494</v>
      </c>
      <c r="S13" s="12">
        <v>2034706207</v>
      </c>
      <c r="T13">
        <v>60</v>
      </c>
    </row>
    <row r="14" spans="1:20" x14ac:dyDescent="0.25">
      <c r="A14" s="8">
        <v>13</v>
      </c>
      <c r="B14" t="s">
        <v>74</v>
      </c>
      <c r="C14" t="s">
        <v>13</v>
      </c>
      <c r="D14" s="9">
        <f>IF(Main[[#This Row],[Department]]="Management",40,IF(Main[[#This Row],[Department]]="Sales",22,IF(Main[[#This Row],[Department]]="Human Resources",28,IF(Main[[#This Row],[Department]]="Marketing",26,IF(Main[[#This Row],[Department]]="Custodial",26,"Temp")))))</f>
        <v>22</v>
      </c>
      <c r="E14">
        <v>37.5</v>
      </c>
      <c r="F14" s="9">
        <f>(Main[[#This Row],[$/Hour]]*Main[[#This Row],[Hours/week]])*52</f>
        <v>42900</v>
      </c>
      <c r="G14" s="10">
        <v>99450</v>
      </c>
      <c r="H14" s="10">
        <f>IF(ISNUMBER(Main[[#This Row],[Sales]]),Main[[#This Row],[Sales]]*0.03,"-")</f>
        <v>2983.5</v>
      </c>
      <c r="I14">
        <f ca="1">DATEDIF(Main[[#This Row],[Date Hired]],TODAY(),"Y")</f>
        <v>11</v>
      </c>
      <c r="J14" s="9">
        <f ca="1">IF(Main[[#This Row],[Years of Service]]&gt;=30,1000,IF(Main[[#This Row],[Years of Service]]&gt;=25,750,IF(Main[[#This Row],[Years of Service]]&gt;=20,500,IF(Main[[#This Row],[Years of Service]]&gt;=15,300,IF(Main[[#This Row],[Years of Service]]&gt;=10,150,IF(Main[[#This Row],[Years of Service]]&gt;=5,75,0))))))</f>
        <v>150</v>
      </c>
      <c r="K14" s="9">
        <f ca="1">SUM(Main[[#This Row],[Longevity]],Main[[#This Row],[Yearly Salary]],Main[[#This Row],[Commission]])</f>
        <v>46033.5</v>
      </c>
      <c r="L14" s="9" t="s">
        <v>35</v>
      </c>
      <c r="M14" s="11">
        <v>39466</v>
      </c>
      <c r="N14" s="12">
        <v>2032872615</v>
      </c>
      <c r="O14" s="13" t="s">
        <v>75</v>
      </c>
      <c r="P14" s="14" t="s">
        <v>76</v>
      </c>
      <c r="Q14" t="s">
        <v>33</v>
      </c>
      <c r="R14" s="16">
        <v>6473</v>
      </c>
      <c r="S14" s="12">
        <v>2032794369</v>
      </c>
      <c r="T14">
        <v>34</v>
      </c>
    </row>
    <row r="15" spans="1:20" x14ac:dyDescent="0.25">
      <c r="A15" s="8">
        <v>14</v>
      </c>
      <c r="B15" t="s">
        <v>77</v>
      </c>
      <c r="C15" t="s">
        <v>78</v>
      </c>
      <c r="D15" s="9">
        <f>IF(Main[[#This Row],[Department]]="Management",40,IF(Main[[#This Row],[Department]]="Sales",22,IF(Main[[#This Row],[Department]]="Human Resources",28,IF(Main[[#This Row],[Department]]="Marketing",26,IF(Main[[#This Row],[Department]]="Custodial",26,"Temp")))))</f>
        <v>26</v>
      </c>
      <c r="E15">
        <v>15</v>
      </c>
      <c r="F15" s="9">
        <f>(Main[[#This Row],[$/Hour]]*Main[[#This Row],[Hours/week]])*52</f>
        <v>20280</v>
      </c>
      <c r="G15" s="10" t="s">
        <v>29</v>
      </c>
      <c r="H15" s="10" t="str">
        <f>IF(ISNUMBER(Main[[#This Row],[Sales]]),Main[[#This Row],[Sales]]*0.03,"-")</f>
        <v>-</v>
      </c>
      <c r="I15">
        <f ca="1">DATEDIF(Main[[#This Row],[Date Hired]],TODAY(),"Y")</f>
        <v>18</v>
      </c>
      <c r="J15" s="9">
        <f ca="1">IF(Main[[#This Row],[Years of Service]]&gt;=30,1000,IF(Main[[#This Row],[Years of Service]]&gt;=25,750,IF(Main[[#This Row],[Years of Service]]&gt;=20,500,IF(Main[[#This Row],[Years of Service]]&gt;=15,300,IF(Main[[#This Row],[Years of Service]]&gt;=10,150,IF(Main[[#This Row],[Years of Service]]&gt;=5,75,0))))))</f>
        <v>300</v>
      </c>
      <c r="K15" s="9">
        <f ca="1">SUM(Main[[#This Row],[Longevity]],Main[[#This Row],[Yearly Salary]],Main[[#This Row],[Commission]])</f>
        <v>20580</v>
      </c>
      <c r="L15" s="9" t="s">
        <v>35</v>
      </c>
      <c r="M15" s="11">
        <v>36743</v>
      </c>
      <c r="N15" s="12">
        <v>2032872697</v>
      </c>
      <c r="O15" s="13" t="s">
        <v>79</v>
      </c>
      <c r="P15" s="14" t="s">
        <v>80</v>
      </c>
      <c r="Q15" t="s">
        <v>81</v>
      </c>
      <c r="R15" s="16">
        <v>6531</v>
      </c>
      <c r="S15" s="12">
        <v>2035853221</v>
      </c>
      <c r="T15">
        <v>52</v>
      </c>
    </row>
    <row r="16" spans="1:20" x14ac:dyDescent="0.25">
      <c r="A16" s="8">
        <v>15</v>
      </c>
      <c r="B16" t="s">
        <v>82</v>
      </c>
      <c r="C16" t="s">
        <v>13</v>
      </c>
      <c r="D16" s="9">
        <f>IF(Main[[#This Row],[Department]]="Management",40,IF(Main[[#This Row],[Department]]="Sales",22,IF(Main[[#This Row],[Department]]="Human Resources",28,IF(Main[[#This Row],[Department]]="Marketing",26,IF(Main[[#This Row],[Department]]="Custodial",26,"Temp")))))</f>
        <v>22</v>
      </c>
      <c r="E16">
        <v>37.5</v>
      </c>
      <c r="F16" s="9">
        <f>(Main[[#This Row],[$/Hour]]*Main[[#This Row],[Hours/week]])*52</f>
        <v>42900</v>
      </c>
      <c r="G16" s="10">
        <v>138450</v>
      </c>
      <c r="H16" s="10">
        <f>IF(ISNUMBER(Main[[#This Row],[Sales]]),Main[[#This Row],[Sales]]*0.03,"-")</f>
        <v>4153.5</v>
      </c>
      <c r="I16">
        <f ca="1">DATEDIF(Main[[#This Row],[Date Hired]],TODAY(),"Y")</f>
        <v>22</v>
      </c>
      <c r="J16" s="9">
        <f ca="1">IF(Main[[#This Row],[Years of Service]]&gt;=30,1000,IF(Main[[#This Row],[Years of Service]]&gt;=25,750,IF(Main[[#This Row],[Years of Service]]&gt;=20,500,IF(Main[[#This Row],[Years of Service]]&gt;=15,300,IF(Main[[#This Row],[Years of Service]]&gt;=10,150,IF(Main[[#This Row],[Years of Service]]&gt;=5,75,0))))))</f>
        <v>500</v>
      </c>
      <c r="K16" s="9">
        <f ca="1">SUM(Main[[#This Row],[Longevity]],Main[[#This Row],[Yearly Salary]],Main[[#This Row],[Commission]])</f>
        <v>47553.5</v>
      </c>
      <c r="L16" s="9" t="s">
        <v>30</v>
      </c>
      <c r="M16" s="11">
        <v>35252</v>
      </c>
      <c r="N16" s="12">
        <v>2032872365</v>
      </c>
      <c r="O16" s="13" t="s">
        <v>83</v>
      </c>
      <c r="P16" s="14" t="s">
        <v>84</v>
      </c>
      <c r="Q16" t="s">
        <v>42</v>
      </c>
      <c r="R16" s="16">
        <v>6518</v>
      </c>
      <c r="S16" s="12">
        <v>2033333616</v>
      </c>
      <c r="T16">
        <v>50</v>
      </c>
    </row>
    <row r="17" spans="1:20" x14ac:dyDescent="0.25">
      <c r="A17" s="8">
        <v>16</v>
      </c>
      <c r="B17" t="s">
        <v>85</v>
      </c>
      <c r="C17" t="s">
        <v>13</v>
      </c>
      <c r="D17" s="9">
        <f>IF(Main[[#This Row],[Department]]="Management",40,IF(Main[[#This Row],[Department]]="Sales",22,IF(Main[[#This Row],[Department]]="Human Resources",28,IF(Main[[#This Row],[Department]]="Marketing",26,IF(Main[[#This Row],[Department]]="Custodial",26,"Temp")))))</f>
        <v>22</v>
      </c>
      <c r="E17">
        <v>15</v>
      </c>
      <c r="F17" s="9">
        <f>(Main[[#This Row],[$/Hour]]*Main[[#This Row],[Hours/week]])*52</f>
        <v>17160</v>
      </c>
      <c r="G17" s="10">
        <v>74100</v>
      </c>
      <c r="H17" s="10">
        <f>IF(ISNUMBER(Main[[#This Row],[Sales]]),Main[[#This Row],[Sales]]*0.03,"-")</f>
        <v>2223</v>
      </c>
      <c r="I17">
        <f ca="1">DATEDIF(Main[[#This Row],[Date Hired]],TODAY(),"Y")</f>
        <v>30</v>
      </c>
      <c r="J17" s="9">
        <f ca="1">IF(Main[[#This Row],[Years of Service]]&gt;=30,1000,IF(Main[[#This Row],[Years of Service]]&gt;=25,750,IF(Main[[#This Row],[Years of Service]]&gt;=20,500,IF(Main[[#This Row],[Years of Service]]&gt;=15,300,IF(Main[[#This Row],[Years of Service]]&gt;=10,150,IF(Main[[#This Row],[Years of Service]]&gt;=5,75,0))))))</f>
        <v>1000</v>
      </c>
      <c r="K17" s="9">
        <f ca="1">SUM(Main[[#This Row],[Longevity]],Main[[#This Row],[Yearly Salary]],Main[[#This Row],[Commission]])</f>
        <v>20383</v>
      </c>
      <c r="L17" s="9" t="s">
        <v>35</v>
      </c>
      <c r="M17" s="11">
        <v>32470</v>
      </c>
      <c r="N17" s="12">
        <v>2032872366</v>
      </c>
      <c r="O17" s="13" t="s">
        <v>86</v>
      </c>
      <c r="P17" s="14" t="s">
        <v>87</v>
      </c>
      <c r="Q17" t="s">
        <v>88</v>
      </c>
      <c r="R17" s="16">
        <v>6524</v>
      </c>
      <c r="S17" s="12">
        <v>2032341214</v>
      </c>
      <c r="T17">
        <v>55</v>
      </c>
    </row>
    <row r="18" spans="1:20" x14ac:dyDescent="0.25">
      <c r="A18" s="8">
        <v>17</v>
      </c>
      <c r="B18" t="s">
        <v>89</v>
      </c>
      <c r="C18" t="s">
        <v>62</v>
      </c>
      <c r="D18" s="9">
        <f>IF(Main[[#This Row],[Department]]="Management",40,IF(Main[[#This Row],[Department]]="Sales",22,IF(Main[[#This Row],[Department]]="Human Resources",28,IF(Main[[#This Row],[Department]]="Marketing",26,IF(Main[[#This Row],[Department]]="Custodial",26,"Temp")))))</f>
        <v>26</v>
      </c>
      <c r="E18">
        <v>37.5</v>
      </c>
      <c r="F18" s="9">
        <f>(Main[[#This Row],[$/Hour]]*Main[[#This Row],[Hours/week]])*52</f>
        <v>50700</v>
      </c>
      <c r="G18" s="10" t="s">
        <v>29</v>
      </c>
      <c r="H18" s="10" t="str">
        <f>IF(ISNUMBER(Main[[#This Row],[Sales]]),Main[[#This Row],[Sales]]*0.03,"-")</f>
        <v>-</v>
      </c>
      <c r="I18">
        <f ca="1">DATEDIF(Main[[#This Row],[Date Hired]],TODAY(),"Y")</f>
        <v>25</v>
      </c>
      <c r="J18" s="9">
        <f ca="1">IF(Main[[#This Row],[Years of Service]]&gt;=30,1000,IF(Main[[#This Row],[Years of Service]]&gt;=25,750,IF(Main[[#This Row],[Years of Service]]&gt;=20,500,IF(Main[[#This Row],[Years of Service]]&gt;=15,300,IF(Main[[#This Row],[Years of Service]]&gt;=10,150,IF(Main[[#This Row],[Years of Service]]&gt;=5,75,0))))))</f>
        <v>750</v>
      </c>
      <c r="K18" s="9">
        <f ca="1">SUM(Main[[#This Row],[Longevity]],Main[[#This Row],[Yearly Salary]],Main[[#This Row],[Commission]])</f>
        <v>51450</v>
      </c>
      <c r="L18" s="9" t="s">
        <v>30</v>
      </c>
      <c r="M18" s="11">
        <v>34134</v>
      </c>
      <c r="N18" s="12">
        <v>2032872698</v>
      </c>
      <c r="O18" s="13" t="s">
        <v>90</v>
      </c>
      <c r="P18" s="14" t="s">
        <v>91</v>
      </c>
      <c r="Q18" t="s">
        <v>81</v>
      </c>
      <c r="R18" s="16">
        <v>6507</v>
      </c>
      <c r="S18" s="12">
        <v>2033924998</v>
      </c>
      <c r="T18">
        <v>48</v>
      </c>
    </row>
    <row r="19" spans="1:20" x14ac:dyDescent="0.25">
      <c r="A19" s="8">
        <v>18</v>
      </c>
      <c r="B19" t="s">
        <v>92</v>
      </c>
      <c r="C19" t="s">
        <v>13</v>
      </c>
      <c r="D19" s="9">
        <f>IF(Main[[#This Row],[Department]]="Management",40,IF(Main[[#This Row],[Department]]="Sales",22,IF(Main[[#This Row],[Department]]="Human Resources",28,IF(Main[[#This Row],[Department]]="Marketing",26,IF(Main[[#This Row],[Department]]="Custodial",26,"Temp")))))</f>
        <v>22</v>
      </c>
      <c r="E19">
        <v>15</v>
      </c>
      <c r="F19" s="9">
        <f>(Main[[#This Row],[$/Hour]]*Main[[#This Row],[Hours/week]])*52</f>
        <v>17160</v>
      </c>
      <c r="G19" s="10">
        <v>74100</v>
      </c>
      <c r="H19" s="10">
        <f>IF(ISNUMBER(Main[[#This Row],[Sales]]),Main[[#This Row],[Sales]]*0.03,"-")</f>
        <v>2223</v>
      </c>
      <c r="I19">
        <f ca="1">DATEDIF(Main[[#This Row],[Date Hired]],TODAY(),"Y")</f>
        <v>15</v>
      </c>
      <c r="J19" s="9">
        <f ca="1">IF(Main[[#This Row],[Years of Service]]&gt;=30,1000,IF(Main[[#This Row],[Years of Service]]&gt;=25,750,IF(Main[[#This Row],[Years of Service]]&gt;=20,500,IF(Main[[#This Row],[Years of Service]]&gt;=15,300,IF(Main[[#This Row],[Years of Service]]&gt;=10,150,IF(Main[[#This Row],[Years of Service]]&gt;=5,75,0))))))</f>
        <v>300</v>
      </c>
      <c r="K19" s="9">
        <f ca="1">SUM(Main[[#This Row],[Longevity]],Main[[#This Row],[Yearly Salary]],Main[[#This Row],[Commission]])</f>
        <v>19683</v>
      </c>
      <c r="L19" s="9" t="s">
        <v>35</v>
      </c>
      <c r="M19" s="11">
        <v>37863</v>
      </c>
      <c r="N19" s="12">
        <v>2032872693</v>
      </c>
      <c r="O19" s="13" t="s">
        <v>93</v>
      </c>
      <c r="P19" s="14" t="s">
        <v>94</v>
      </c>
      <c r="Q19" t="s">
        <v>42</v>
      </c>
      <c r="R19" s="16">
        <v>6514</v>
      </c>
      <c r="S19" s="12">
        <v>2033385951</v>
      </c>
      <c r="T19">
        <v>48</v>
      </c>
    </row>
    <row r="20" spans="1:20" x14ac:dyDescent="0.25">
      <c r="A20" s="8">
        <v>19</v>
      </c>
      <c r="B20" t="s">
        <v>95</v>
      </c>
      <c r="C20" t="s">
        <v>13</v>
      </c>
      <c r="D20" s="9">
        <f>IF(Main[[#This Row],[Department]]="Management",40,IF(Main[[#This Row],[Department]]="Sales",22,IF(Main[[#This Row],[Department]]="Human Resources",28,IF(Main[[#This Row],[Department]]="Marketing",26,IF(Main[[#This Row],[Department]]="Custodial",26,"Temp")))))</f>
        <v>22</v>
      </c>
      <c r="E20">
        <v>35</v>
      </c>
      <c r="F20" s="9">
        <f>(Main[[#This Row],[$/Hour]]*Main[[#This Row],[Hours/week]])*52</f>
        <v>40040</v>
      </c>
      <c r="G20" s="10">
        <v>109200</v>
      </c>
      <c r="H20" s="10">
        <f>IF(ISNUMBER(Main[[#This Row],[Sales]]),Main[[#This Row],[Sales]]*0.03,"-")</f>
        <v>3276</v>
      </c>
      <c r="I20">
        <f ca="1">DATEDIF(Main[[#This Row],[Date Hired]],TODAY(),"Y")</f>
        <v>7</v>
      </c>
      <c r="J20" s="9">
        <f ca="1">IF(Main[[#This Row],[Years of Service]]&gt;=30,1000,IF(Main[[#This Row],[Years of Service]]&gt;=25,750,IF(Main[[#This Row],[Years of Service]]&gt;=20,500,IF(Main[[#This Row],[Years of Service]]&gt;=15,300,IF(Main[[#This Row],[Years of Service]]&gt;=10,150,IF(Main[[#This Row],[Years of Service]]&gt;=5,75,0))))))</f>
        <v>75</v>
      </c>
      <c r="K20" s="9">
        <f ca="1">SUM(Main[[#This Row],[Longevity]],Main[[#This Row],[Yearly Salary]],Main[[#This Row],[Commission]])</f>
        <v>43391</v>
      </c>
      <c r="L20" s="9" t="s">
        <v>35</v>
      </c>
      <c r="M20" s="11">
        <v>40982</v>
      </c>
      <c r="N20" s="12">
        <v>2032872390</v>
      </c>
      <c r="O20" s="13" t="s">
        <v>96</v>
      </c>
      <c r="P20" s="14" t="s">
        <v>97</v>
      </c>
      <c r="Q20" t="s">
        <v>81</v>
      </c>
      <c r="R20" s="16">
        <v>6521</v>
      </c>
      <c r="S20" s="12">
        <v>2036602288</v>
      </c>
      <c r="T20">
        <v>28</v>
      </c>
    </row>
    <row r="21" spans="1:20" x14ac:dyDescent="0.25">
      <c r="A21" s="8">
        <v>20</v>
      </c>
      <c r="B21" t="s">
        <v>98</v>
      </c>
      <c r="C21" t="s">
        <v>13</v>
      </c>
      <c r="D21" s="9">
        <f>IF(Main[[#This Row],[Department]]="Management",40,IF(Main[[#This Row],[Department]]="Sales",22,IF(Main[[#This Row],[Department]]="Human Resources",28,IF(Main[[#This Row],[Department]]="Marketing",26,IF(Main[[#This Row],[Department]]="Custodial",26,"Temp")))))</f>
        <v>22</v>
      </c>
      <c r="E21">
        <v>15</v>
      </c>
      <c r="F21" s="9">
        <f>(Main[[#This Row],[$/Hour]]*Main[[#This Row],[Hours/week]])*52</f>
        <v>17160</v>
      </c>
      <c r="G21" s="10">
        <v>26520</v>
      </c>
      <c r="H21" s="10">
        <f>IF(ISNUMBER(Main[[#This Row],[Sales]]),Main[[#This Row],[Sales]]*0.03,"-")</f>
        <v>795.6</v>
      </c>
      <c r="I21">
        <f ca="1">DATEDIF(Main[[#This Row],[Date Hired]],TODAY(),"Y")</f>
        <v>29</v>
      </c>
      <c r="J21" s="9">
        <f ca="1">IF(Main[[#This Row],[Years of Service]]&gt;=30,1000,IF(Main[[#This Row],[Years of Service]]&gt;=25,750,IF(Main[[#This Row],[Years of Service]]&gt;=20,500,IF(Main[[#This Row],[Years of Service]]&gt;=15,300,IF(Main[[#This Row],[Years of Service]]&gt;=10,150,IF(Main[[#This Row],[Years of Service]]&gt;=5,75,0))))))</f>
        <v>750</v>
      </c>
      <c r="K21" s="9">
        <f ca="1">SUM(Main[[#This Row],[Longevity]],Main[[#This Row],[Yearly Salary]],Main[[#This Row],[Commission]])</f>
        <v>18705.599999999999</v>
      </c>
      <c r="L21" s="9" t="s">
        <v>30</v>
      </c>
      <c r="M21" s="11">
        <v>32866</v>
      </c>
      <c r="N21" s="12">
        <v>2032872626</v>
      </c>
      <c r="O21" s="13" t="s">
        <v>99</v>
      </c>
      <c r="P21" s="14" t="s">
        <v>100</v>
      </c>
      <c r="Q21" t="s">
        <v>42</v>
      </c>
      <c r="R21" s="16">
        <v>6517</v>
      </c>
      <c r="S21" s="12">
        <v>2039905362</v>
      </c>
      <c r="T21">
        <v>48</v>
      </c>
    </row>
    <row r="22" spans="1:20" x14ac:dyDescent="0.25">
      <c r="A22" s="8">
        <v>21</v>
      </c>
      <c r="B22" t="s">
        <v>101</v>
      </c>
      <c r="C22" t="s">
        <v>13</v>
      </c>
      <c r="D22" s="9">
        <f>IF(Main[[#This Row],[Department]]="Management",40,IF(Main[[#This Row],[Department]]="Sales",22,IF(Main[[#This Row],[Department]]="Human Resources",28,IF(Main[[#This Row],[Department]]="Marketing",26,IF(Main[[#This Row],[Department]]="Custodial",26,"Temp")))))</f>
        <v>22</v>
      </c>
      <c r="E22">
        <v>37.5</v>
      </c>
      <c r="F22" s="9">
        <f>(Main[[#This Row],[$/Hour]]*Main[[#This Row],[Hours/week]])*52</f>
        <v>42900</v>
      </c>
      <c r="G22" s="10">
        <v>126750</v>
      </c>
      <c r="H22" s="10">
        <f>IF(ISNUMBER(Main[[#This Row],[Sales]]),Main[[#This Row],[Sales]]*0.03,"-")</f>
        <v>3802.5</v>
      </c>
      <c r="I22">
        <f ca="1">DATEDIF(Main[[#This Row],[Date Hired]],TODAY(),"Y")</f>
        <v>28</v>
      </c>
      <c r="J22" s="9">
        <f ca="1">IF(Main[[#This Row],[Years of Service]]&gt;=30,1000,IF(Main[[#This Row],[Years of Service]]&gt;=25,750,IF(Main[[#This Row],[Years of Service]]&gt;=20,500,IF(Main[[#This Row],[Years of Service]]&gt;=15,300,IF(Main[[#This Row],[Years of Service]]&gt;=10,150,IF(Main[[#This Row],[Years of Service]]&gt;=5,75,0))))))</f>
        <v>750</v>
      </c>
      <c r="K22" s="9">
        <f ca="1">SUM(Main[[#This Row],[Longevity]],Main[[#This Row],[Yearly Salary]],Main[[#This Row],[Commission]])</f>
        <v>47452.5</v>
      </c>
      <c r="L22" s="9" t="s">
        <v>30</v>
      </c>
      <c r="M22" s="11">
        <v>33255</v>
      </c>
      <c r="N22" s="12">
        <v>2032872355</v>
      </c>
      <c r="O22" s="13" t="s">
        <v>102</v>
      </c>
      <c r="P22" s="14" t="s">
        <v>103</v>
      </c>
      <c r="Q22" t="s">
        <v>42</v>
      </c>
      <c r="R22" s="16">
        <v>6518</v>
      </c>
      <c r="S22" s="12">
        <v>2037622511</v>
      </c>
      <c r="T22">
        <v>62</v>
      </c>
    </row>
    <row r="23" spans="1:20" x14ac:dyDescent="0.25">
      <c r="A23" s="8">
        <v>22</v>
      </c>
      <c r="B23" t="s">
        <v>104</v>
      </c>
      <c r="C23" t="s">
        <v>13</v>
      </c>
      <c r="D23" s="9">
        <f>IF(Main[[#This Row],[Department]]="Management",40,IF(Main[[#This Row],[Department]]="Sales",22,IF(Main[[#This Row],[Department]]="Human Resources",28,IF(Main[[#This Row],[Department]]="Marketing",26,IF(Main[[#This Row],[Department]]="Custodial",26,"Temp")))))</f>
        <v>22</v>
      </c>
      <c r="E23">
        <v>19.5</v>
      </c>
      <c r="F23" s="9">
        <f>(Main[[#This Row],[$/Hour]]*Main[[#This Row],[Hours/week]])*52</f>
        <v>22308</v>
      </c>
      <c r="G23" s="10">
        <v>32448</v>
      </c>
      <c r="H23" s="10">
        <f>IF(ISNUMBER(Main[[#This Row],[Sales]]),Main[[#This Row],[Sales]]*0.03,"-")</f>
        <v>973.43999999999994</v>
      </c>
      <c r="I23">
        <f ca="1">DATEDIF(Main[[#This Row],[Date Hired]],TODAY(),"Y")</f>
        <v>31</v>
      </c>
      <c r="J23" s="9">
        <f ca="1">IF(Main[[#This Row],[Years of Service]]&gt;=30,1000,IF(Main[[#This Row],[Years of Service]]&gt;=25,750,IF(Main[[#This Row],[Years of Service]]&gt;=20,500,IF(Main[[#This Row],[Years of Service]]&gt;=15,300,IF(Main[[#This Row],[Years of Service]]&gt;=10,150,IF(Main[[#This Row],[Years of Service]]&gt;=5,75,0))))))</f>
        <v>1000</v>
      </c>
      <c r="K23" s="9">
        <f ca="1">SUM(Main[[#This Row],[Longevity]],Main[[#This Row],[Yearly Salary]],Main[[#This Row],[Commission]])</f>
        <v>24281.439999999999</v>
      </c>
      <c r="L23" s="9" t="s">
        <v>35</v>
      </c>
      <c r="M23" s="11">
        <v>32025</v>
      </c>
      <c r="N23" s="12">
        <v>2032872645</v>
      </c>
      <c r="O23" s="13" t="s">
        <v>105</v>
      </c>
      <c r="P23" s="14" t="s">
        <v>106</v>
      </c>
      <c r="Q23" t="s">
        <v>81</v>
      </c>
      <c r="R23" s="16">
        <v>6503</v>
      </c>
      <c r="S23" s="12">
        <v>2037044708</v>
      </c>
      <c r="T23">
        <v>59</v>
      </c>
    </row>
    <row r="24" spans="1:20" x14ac:dyDescent="0.25">
      <c r="A24" s="8">
        <v>23</v>
      </c>
      <c r="B24" t="s">
        <v>107</v>
      </c>
      <c r="C24" t="s">
        <v>13</v>
      </c>
      <c r="D24" s="9">
        <f>IF(Main[[#This Row],[Department]]="Management",40,IF(Main[[#This Row],[Department]]="Sales",22,IF(Main[[#This Row],[Department]]="Human Resources",28,IF(Main[[#This Row],[Department]]="Marketing",26,IF(Main[[#This Row],[Department]]="Custodial",26,"Temp")))))</f>
        <v>22</v>
      </c>
      <c r="E24">
        <v>23</v>
      </c>
      <c r="F24" s="9">
        <f>(Main[[#This Row],[$/Hour]]*Main[[#This Row],[Hours/week]])*52</f>
        <v>26312</v>
      </c>
      <c r="G24" s="10">
        <v>81328</v>
      </c>
      <c r="H24" s="10">
        <f>IF(ISNUMBER(Main[[#This Row],[Sales]]),Main[[#This Row],[Sales]]*0.03,"-")</f>
        <v>2439.8399999999997</v>
      </c>
      <c r="I24">
        <f ca="1">DATEDIF(Main[[#This Row],[Date Hired]],TODAY(),"Y")</f>
        <v>21</v>
      </c>
      <c r="J24" s="9">
        <f ca="1">IF(Main[[#This Row],[Years of Service]]&gt;=30,1000,IF(Main[[#This Row],[Years of Service]]&gt;=25,750,IF(Main[[#This Row],[Years of Service]]&gt;=20,500,IF(Main[[#This Row],[Years of Service]]&gt;=15,300,IF(Main[[#This Row],[Years of Service]]&gt;=10,150,IF(Main[[#This Row],[Years of Service]]&gt;=5,75,0))))))</f>
        <v>500</v>
      </c>
      <c r="K24" s="9">
        <f ca="1">SUM(Main[[#This Row],[Longevity]],Main[[#This Row],[Yearly Salary]],Main[[#This Row],[Commission]])</f>
        <v>29251.84</v>
      </c>
      <c r="L24" s="9" t="s">
        <v>30</v>
      </c>
      <c r="M24" s="11">
        <v>35800</v>
      </c>
      <c r="N24" s="12">
        <v>2032872346</v>
      </c>
      <c r="O24" s="13" t="s">
        <v>108</v>
      </c>
      <c r="P24" s="14" t="s">
        <v>109</v>
      </c>
      <c r="Q24" t="s">
        <v>81</v>
      </c>
      <c r="R24" s="16">
        <v>6510</v>
      </c>
      <c r="S24" s="12">
        <v>2036768807</v>
      </c>
      <c r="T24">
        <v>54</v>
      </c>
    </row>
    <row r="25" spans="1:20" x14ac:dyDescent="0.25">
      <c r="A25" s="8">
        <v>24</v>
      </c>
      <c r="B25" t="s">
        <v>110</v>
      </c>
      <c r="C25" t="s">
        <v>13</v>
      </c>
      <c r="D25" s="9">
        <f>IF(Main[[#This Row],[Department]]="Management",40,IF(Main[[#This Row],[Department]]="Sales",22,IF(Main[[#This Row],[Department]]="Human Resources",28,IF(Main[[#This Row],[Department]]="Marketing",26,IF(Main[[#This Row],[Department]]="Custodial",26,"Temp")))))</f>
        <v>22</v>
      </c>
      <c r="E25">
        <v>37.5</v>
      </c>
      <c r="F25" s="9">
        <f>(Main[[#This Row],[$/Hour]]*Main[[#This Row],[Hours/week]])*52</f>
        <v>42900</v>
      </c>
      <c r="G25" s="10">
        <v>126750</v>
      </c>
      <c r="H25" s="10">
        <f>IF(ISNUMBER(Main[[#This Row],[Sales]]),Main[[#This Row],[Sales]]*0.03,"-")</f>
        <v>3802.5</v>
      </c>
      <c r="I25">
        <f ca="1">DATEDIF(Main[[#This Row],[Date Hired]],TODAY(),"Y")</f>
        <v>17</v>
      </c>
      <c r="J25" s="9">
        <f ca="1">IF(Main[[#This Row],[Years of Service]]&gt;=30,1000,IF(Main[[#This Row],[Years of Service]]&gt;=25,750,IF(Main[[#This Row],[Years of Service]]&gt;=20,500,IF(Main[[#This Row],[Years of Service]]&gt;=15,300,IF(Main[[#This Row],[Years of Service]]&gt;=10,150,IF(Main[[#This Row],[Years of Service]]&gt;=5,75,0))))))</f>
        <v>300</v>
      </c>
      <c r="K25" s="9">
        <f ca="1">SUM(Main[[#This Row],[Longevity]],Main[[#This Row],[Yearly Salary]],Main[[#This Row],[Commission]])</f>
        <v>47002.5</v>
      </c>
      <c r="L25" s="9" t="s">
        <v>30</v>
      </c>
      <c r="M25" s="11">
        <v>37160</v>
      </c>
      <c r="N25" s="12">
        <v>2032872648</v>
      </c>
      <c r="O25" s="13" t="s">
        <v>111</v>
      </c>
      <c r="P25" s="14" t="s">
        <v>112</v>
      </c>
      <c r="Q25" t="s">
        <v>81</v>
      </c>
      <c r="R25" s="16">
        <v>6506</v>
      </c>
      <c r="S25" s="12">
        <v>2035078912</v>
      </c>
      <c r="T25">
        <v>54</v>
      </c>
    </row>
    <row r="26" spans="1:20" x14ac:dyDescent="0.25">
      <c r="A26" s="8">
        <v>25</v>
      </c>
      <c r="B26" t="s">
        <v>113</v>
      </c>
      <c r="C26" t="s">
        <v>13</v>
      </c>
      <c r="D26" s="9">
        <f>IF(Main[[#This Row],[Department]]="Management",40,IF(Main[[#This Row],[Department]]="Sales",22,IF(Main[[#This Row],[Department]]="Human Resources",28,IF(Main[[#This Row],[Department]]="Marketing",26,IF(Main[[#This Row],[Department]]="Custodial",26,"Temp")))))</f>
        <v>22</v>
      </c>
      <c r="E26">
        <v>19.5</v>
      </c>
      <c r="F26" s="9">
        <f>(Main[[#This Row],[$/Hour]]*Main[[#This Row],[Hours/week]])*52</f>
        <v>22308</v>
      </c>
      <c r="G26" s="10">
        <v>78078</v>
      </c>
      <c r="H26" s="10">
        <f>IF(ISNUMBER(Main[[#This Row],[Sales]]),Main[[#This Row],[Sales]]*0.03,"-")</f>
        <v>2342.3399999999997</v>
      </c>
      <c r="I26">
        <f ca="1">DATEDIF(Main[[#This Row],[Date Hired]],TODAY(),"Y")</f>
        <v>33</v>
      </c>
      <c r="J26" s="9">
        <f ca="1">IF(Main[[#This Row],[Years of Service]]&gt;=30,1000,IF(Main[[#This Row],[Years of Service]]&gt;=25,750,IF(Main[[#This Row],[Years of Service]]&gt;=20,500,IF(Main[[#This Row],[Years of Service]]&gt;=15,300,IF(Main[[#This Row],[Years of Service]]&gt;=10,150,IF(Main[[#This Row],[Years of Service]]&gt;=5,75,0))))))</f>
        <v>1000</v>
      </c>
      <c r="K26" s="9">
        <f ca="1">SUM(Main[[#This Row],[Longevity]],Main[[#This Row],[Yearly Salary]],Main[[#This Row],[Commission]])</f>
        <v>25650.34</v>
      </c>
      <c r="L26" s="9" t="s">
        <v>35</v>
      </c>
      <c r="M26" s="11">
        <v>31463</v>
      </c>
      <c r="N26" s="12">
        <v>2032872328</v>
      </c>
      <c r="O26" s="13" t="s">
        <v>114</v>
      </c>
      <c r="P26" s="14" t="s">
        <v>115</v>
      </c>
      <c r="Q26" t="s">
        <v>88</v>
      </c>
      <c r="R26" s="16">
        <v>6524</v>
      </c>
      <c r="S26" s="12">
        <v>2037572646</v>
      </c>
      <c r="T26">
        <v>63</v>
      </c>
    </row>
    <row r="27" spans="1:20" x14ac:dyDescent="0.25">
      <c r="A27" s="8">
        <v>26</v>
      </c>
      <c r="B27" t="s">
        <v>116</v>
      </c>
      <c r="C27" t="s">
        <v>13</v>
      </c>
      <c r="D27" s="9">
        <f>IF(Main[[#This Row],[Department]]="Management",40,IF(Main[[#This Row],[Department]]="Sales",22,IF(Main[[#This Row],[Department]]="Human Resources",28,IF(Main[[#This Row],[Department]]="Marketing",26,IF(Main[[#This Row],[Department]]="Custodial",26,"Temp")))))</f>
        <v>22</v>
      </c>
      <c r="E27">
        <v>15</v>
      </c>
      <c r="F27" s="9">
        <f>(Main[[#This Row],[$/Hour]]*Main[[#This Row],[Hours/week]])*52</f>
        <v>17160</v>
      </c>
      <c r="G27" s="10">
        <v>74100</v>
      </c>
      <c r="H27" s="10">
        <f>IF(ISNUMBER(Main[[#This Row],[Sales]]),Main[[#This Row],[Sales]]*0.03,"-")</f>
        <v>2223</v>
      </c>
      <c r="I27">
        <f ca="1">DATEDIF(Main[[#This Row],[Date Hired]],TODAY(),"Y")</f>
        <v>8</v>
      </c>
      <c r="J27" s="9">
        <f ca="1">IF(Main[[#This Row],[Years of Service]]&gt;=30,1000,IF(Main[[#This Row],[Years of Service]]&gt;=25,750,IF(Main[[#This Row],[Years of Service]]&gt;=20,500,IF(Main[[#This Row],[Years of Service]]&gt;=15,300,IF(Main[[#This Row],[Years of Service]]&gt;=10,150,IF(Main[[#This Row],[Years of Service]]&gt;=5,75,0))))))</f>
        <v>75</v>
      </c>
      <c r="K27" s="9">
        <f ca="1">SUM(Main[[#This Row],[Longevity]],Main[[#This Row],[Yearly Salary]],Main[[#This Row],[Commission]])</f>
        <v>19458</v>
      </c>
      <c r="L27" s="9" t="s">
        <v>30</v>
      </c>
      <c r="M27" s="11">
        <v>40539</v>
      </c>
      <c r="N27" s="12">
        <v>2032872629</v>
      </c>
      <c r="O27" s="13" t="s">
        <v>117</v>
      </c>
      <c r="P27" s="14" t="s">
        <v>118</v>
      </c>
      <c r="Q27" t="s">
        <v>81</v>
      </c>
      <c r="R27" s="16">
        <v>6505</v>
      </c>
      <c r="S27" s="12">
        <v>2034251771</v>
      </c>
      <c r="T27">
        <v>27</v>
      </c>
    </row>
    <row r="28" spans="1:20" x14ac:dyDescent="0.25">
      <c r="A28" s="8">
        <v>27</v>
      </c>
      <c r="B28" t="s">
        <v>119</v>
      </c>
      <c r="C28" t="s">
        <v>13</v>
      </c>
      <c r="D28" s="9">
        <f>IF(Main[[#This Row],[Department]]="Management",40,IF(Main[[#This Row],[Department]]="Sales",22,IF(Main[[#This Row],[Department]]="Human Resources",28,IF(Main[[#This Row],[Department]]="Marketing",26,IF(Main[[#This Row],[Department]]="Custodial",26,"Temp")))))</f>
        <v>22</v>
      </c>
      <c r="E28">
        <v>19.5</v>
      </c>
      <c r="F28" s="9">
        <f>(Main[[#This Row],[$/Hour]]*Main[[#This Row],[Hours/week]])*52</f>
        <v>22308</v>
      </c>
      <c r="G28" s="10">
        <v>31434</v>
      </c>
      <c r="H28" s="10">
        <f>IF(ISNUMBER(Main[[#This Row],[Sales]]),Main[[#This Row],[Sales]]*0.03,"-")</f>
        <v>943.02</v>
      </c>
      <c r="I28">
        <f ca="1">DATEDIF(Main[[#This Row],[Date Hired]],TODAY(),"Y")</f>
        <v>26</v>
      </c>
      <c r="J28" s="9">
        <f ca="1">IF(Main[[#This Row],[Years of Service]]&gt;=30,1000,IF(Main[[#This Row],[Years of Service]]&gt;=25,750,IF(Main[[#This Row],[Years of Service]]&gt;=20,500,IF(Main[[#This Row],[Years of Service]]&gt;=15,300,IF(Main[[#This Row],[Years of Service]]&gt;=10,150,IF(Main[[#This Row],[Years of Service]]&gt;=5,75,0))))))</f>
        <v>750</v>
      </c>
      <c r="K28" s="9">
        <f ca="1">SUM(Main[[#This Row],[Longevity]],Main[[#This Row],[Yearly Salary]],Main[[#This Row],[Commission]])</f>
        <v>24001.02</v>
      </c>
      <c r="L28" s="9" t="s">
        <v>35</v>
      </c>
      <c r="M28" s="11">
        <v>33785</v>
      </c>
      <c r="N28" s="12">
        <v>2032872340</v>
      </c>
      <c r="O28" s="13" t="s">
        <v>120</v>
      </c>
      <c r="P28" s="14" t="s">
        <v>121</v>
      </c>
      <c r="Q28" t="s">
        <v>81</v>
      </c>
      <c r="R28" s="16">
        <v>6509</v>
      </c>
      <c r="S28" s="12">
        <v>5751854461</v>
      </c>
      <c r="T28">
        <v>57</v>
      </c>
    </row>
    <row r="29" spans="1:20" x14ac:dyDescent="0.25">
      <c r="A29" s="8">
        <v>28</v>
      </c>
      <c r="B29" t="s">
        <v>122</v>
      </c>
      <c r="C29" t="s">
        <v>13</v>
      </c>
      <c r="D29" s="9">
        <f>IF(Main[[#This Row],[Department]]="Management",40,IF(Main[[#This Row],[Department]]="Sales",22,IF(Main[[#This Row],[Department]]="Human Resources",28,IF(Main[[#This Row],[Department]]="Marketing",26,IF(Main[[#This Row],[Department]]="Custodial",26,"Temp")))))</f>
        <v>22</v>
      </c>
      <c r="E29">
        <v>35</v>
      </c>
      <c r="F29" s="9">
        <f>(Main[[#This Row],[$/Hour]]*Main[[#This Row],[Hours/week]])*52</f>
        <v>40040</v>
      </c>
      <c r="G29" s="10">
        <v>141960</v>
      </c>
      <c r="H29" s="10">
        <f>IF(ISNUMBER(Main[[#This Row],[Sales]]),Main[[#This Row],[Sales]]*0.03,"-")</f>
        <v>4258.8</v>
      </c>
      <c r="I29">
        <f ca="1">DATEDIF(Main[[#This Row],[Date Hired]],TODAY(),"Y")</f>
        <v>29</v>
      </c>
      <c r="J29" s="9">
        <f ca="1">IF(Main[[#This Row],[Years of Service]]&gt;=30,1000,IF(Main[[#This Row],[Years of Service]]&gt;=25,750,IF(Main[[#This Row],[Years of Service]]&gt;=20,500,IF(Main[[#This Row],[Years of Service]]&gt;=15,300,IF(Main[[#This Row],[Years of Service]]&gt;=10,150,IF(Main[[#This Row],[Years of Service]]&gt;=5,75,0))))))</f>
        <v>750</v>
      </c>
      <c r="K29" s="9">
        <f ca="1">SUM(Main[[#This Row],[Longevity]],Main[[#This Row],[Yearly Salary]],Main[[#This Row],[Commission]])</f>
        <v>45048.800000000003</v>
      </c>
      <c r="L29" s="9" t="s">
        <v>35</v>
      </c>
      <c r="M29" s="11">
        <v>32769</v>
      </c>
      <c r="N29" s="12">
        <v>2032872321</v>
      </c>
      <c r="O29" s="13" t="s">
        <v>123</v>
      </c>
      <c r="P29" s="14" t="s">
        <v>124</v>
      </c>
      <c r="Q29" t="s">
        <v>42</v>
      </c>
      <c r="R29" s="16">
        <v>6514</v>
      </c>
      <c r="S29" s="12">
        <v>2034587662</v>
      </c>
      <c r="T29">
        <v>57</v>
      </c>
    </row>
    <row r="30" spans="1:20" x14ac:dyDescent="0.25">
      <c r="A30" s="8">
        <v>29</v>
      </c>
      <c r="B30" t="s">
        <v>125</v>
      </c>
      <c r="C30" t="s">
        <v>13</v>
      </c>
      <c r="D30" s="9">
        <f>IF(Main[[#This Row],[Department]]="Management",40,IF(Main[[#This Row],[Department]]="Sales",22,IF(Main[[#This Row],[Department]]="Human Resources",28,IF(Main[[#This Row],[Department]]="Marketing",26,IF(Main[[#This Row],[Department]]="Custodial",26,"Temp")))))</f>
        <v>22</v>
      </c>
      <c r="E30">
        <v>37.5</v>
      </c>
      <c r="F30" s="9">
        <f>(Main[[#This Row],[$/Hour]]*Main[[#This Row],[Hours/week]])*52</f>
        <v>42900</v>
      </c>
      <c r="G30" s="10">
        <v>97500</v>
      </c>
      <c r="H30" s="10">
        <f>IF(ISNUMBER(Main[[#This Row],[Sales]]),Main[[#This Row],[Sales]]*0.03,"-")</f>
        <v>2925</v>
      </c>
      <c r="I30">
        <f ca="1">DATEDIF(Main[[#This Row],[Date Hired]],TODAY(),"Y")</f>
        <v>6</v>
      </c>
      <c r="J30" s="9">
        <f ca="1">IF(Main[[#This Row],[Years of Service]]&gt;=30,1000,IF(Main[[#This Row],[Years of Service]]&gt;=25,750,IF(Main[[#This Row],[Years of Service]]&gt;=20,500,IF(Main[[#This Row],[Years of Service]]&gt;=15,300,IF(Main[[#This Row],[Years of Service]]&gt;=10,150,IF(Main[[#This Row],[Years of Service]]&gt;=5,75,0))))))</f>
        <v>75</v>
      </c>
      <c r="K30" s="9">
        <f ca="1">SUM(Main[[#This Row],[Longevity]],Main[[#This Row],[Yearly Salary]],Main[[#This Row],[Commission]])</f>
        <v>45900</v>
      </c>
      <c r="L30" s="9" t="s">
        <v>30</v>
      </c>
      <c r="M30" s="11">
        <v>41308</v>
      </c>
      <c r="N30" s="12">
        <v>2032872317</v>
      </c>
      <c r="O30" s="13" t="s">
        <v>126</v>
      </c>
      <c r="P30" s="14" t="s">
        <v>127</v>
      </c>
      <c r="Q30" t="s">
        <v>42</v>
      </c>
      <c r="R30" s="16">
        <v>6517</v>
      </c>
      <c r="S30" s="12">
        <v>2039989951</v>
      </c>
      <c r="T30">
        <v>29</v>
      </c>
    </row>
    <row r="31" spans="1:20" x14ac:dyDescent="0.25">
      <c r="A31" s="8">
        <v>30</v>
      </c>
      <c r="B31" t="s">
        <v>128</v>
      </c>
      <c r="C31" t="s">
        <v>13</v>
      </c>
      <c r="D31" s="9">
        <f>IF(Main[[#This Row],[Department]]="Management",40,IF(Main[[#This Row],[Department]]="Sales",22,IF(Main[[#This Row],[Department]]="Human Resources",28,IF(Main[[#This Row],[Department]]="Marketing",26,IF(Main[[#This Row],[Department]]="Custodial",26,"Temp")))))</f>
        <v>22</v>
      </c>
      <c r="E31">
        <v>19.5</v>
      </c>
      <c r="F31" s="9">
        <f>(Main[[#This Row],[$/Hour]]*Main[[#This Row],[Hours/week]])*52</f>
        <v>22308</v>
      </c>
      <c r="G31" s="10">
        <v>57798</v>
      </c>
      <c r="H31" s="10">
        <f>IF(ISNUMBER(Main[[#This Row],[Sales]]),Main[[#This Row],[Sales]]*0.03,"-")</f>
        <v>1733.9399999999998</v>
      </c>
      <c r="I31">
        <f ca="1">DATEDIF(Main[[#This Row],[Date Hired]],TODAY(),"Y")</f>
        <v>9</v>
      </c>
      <c r="J31" s="9">
        <f ca="1">IF(Main[[#This Row],[Years of Service]]&gt;=30,1000,IF(Main[[#This Row],[Years of Service]]&gt;=25,750,IF(Main[[#This Row],[Years of Service]]&gt;=20,500,IF(Main[[#This Row],[Years of Service]]&gt;=15,300,IF(Main[[#This Row],[Years of Service]]&gt;=10,150,IF(Main[[#This Row],[Years of Service]]&gt;=5,75,0))))))</f>
        <v>75</v>
      </c>
      <c r="K31" s="9">
        <f ca="1">SUM(Main[[#This Row],[Longevity]],Main[[#This Row],[Yearly Salary]],Main[[#This Row],[Commission]])</f>
        <v>24116.94</v>
      </c>
      <c r="L31" s="9" t="s">
        <v>35</v>
      </c>
      <c r="M31" s="11">
        <v>40257</v>
      </c>
      <c r="N31" s="12">
        <v>2032872312</v>
      </c>
      <c r="O31" s="13" t="s">
        <v>129</v>
      </c>
      <c r="P31" s="14" t="s">
        <v>130</v>
      </c>
      <c r="Q31" t="s">
        <v>81</v>
      </c>
      <c r="R31" s="16">
        <v>6534</v>
      </c>
      <c r="S31" s="12">
        <v>2039235622</v>
      </c>
      <c r="T31">
        <v>28</v>
      </c>
    </row>
    <row r="32" spans="1:20" x14ac:dyDescent="0.25">
      <c r="A32" s="8">
        <v>31</v>
      </c>
      <c r="B32" t="s">
        <v>131</v>
      </c>
      <c r="C32" t="s">
        <v>13</v>
      </c>
      <c r="D32" s="9">
        <f>IF(Main[[#This Row],[Department]]="Management",40,IF(Main[[#This Row],[Department]]="Sales",22,IF(Main[[#This Row],[Department]]="Human Resources",28,IF(Main[[#This Row],[Department]]="Marketing",26,IF(Main[[#This Row],[Department]]="Custodial",26,"Temp")))))</f>
        <v>22</v>
      </c>
      <c r="E32">
        <v>19.5</v>
      </c>
      <c r="F32" s="9">
        <f>(Main[[#This Row],[$/Hour]]*Main[[#This Row],[Hours/week]])*52</f>
        <v>22308</v>
      </c>
      <c r="G32" s="10">
        <v>91260</v>
      </c>
      <c r="H32" s="10">
        <f>IF(ISNUMBER(Main[[#This Row],[Sales]]),Main[[#This Row],[Sales]]*0.03,"-")</f>
        <v>2737.7999999999997</v>
      </c>
      <c r="I32">
        <f ca="1">DATEDIF(Main[[#This Row],[Date Hired]],TODAY(),"Y")</f>
        <v>7</v>
      </c>
      <c r="J32" s="9">
        <f ca="1">IF(Main[[#This Row],[Years of Service]]&gt;=30,1000,IF(Main[[#This Row],[Years of Service]]&gt;=25,750,IF(Main[[#This Row],[Years of Service]]&gt;=20,500,IF(Main[[#This Row],[Years of Service]]&gt;=15,300,IF(Main[[#This Row],[Years of Service]]&gt;=10,150,IF(Main[[#This Row],[Years of Service]]&gt;=5,75,0))))))</f>
        <v>75</v>
      </c>
      <c r="K32" s="9">
        <f ca="1">SUM(Main[[#This Row],[Longevity]],Main[[#This Row],[Yearly Salary]],Main[[#This Row],[Commission]])</f>
        <v>25120.799999999999</v>
      </c>
      <c r="L32" s="9" t="s">
        <v>35</v>
      </c>
      <c r="M32" s="11">
        <v>40737</v>
      </c>
      <c r="N32" s="12">
        <v>2032872633</v>
      </c>
      <c r="O32" s="13" t="s">
        <v>132</v>
      </c>
      <c r="P32" s="14" t="s">
        <v>133</v>
      </c>
      <c r="Q32" t="s">
        <v>33</v>
      </c>
      <c r="R32" s="16">
        <v>6473</v>
      </c>
      <c r="S32" s="12">
        <v>7536584366</v>
      </c>
      <c r="T32">
        <v>45</v>
      </c>
    </row>
    <row r="33" spans="1:20" x14ac:dyDescent="0.25">
      <c r="A33" s="8">
        <v>32</v>
      </c>
      <c r="B33" t="s">
        <v>134</v>
      </c>
      <c r="C33" t="s">
        <v>13</v>
      </c>
      <c r="D33" s="9">
        <f>IF(Main[[#This Row],[Department]]="Management",40,IF(Main[[#This Row],[Department]]="Sales",22,IF(Main[[#This Row],[Department]]="Human Resources",28,IF(Main[[#This Row],[Department]]="Marketing",26,IF(Main[[#This Row],[Department]]="Custodial",26,"Temp")))))</f>
        <v>22</v>
      </c>
      <c r="E33">
        <v>15</v>
      </c>
      <c r="F33" s="9">
        <f>(Main[[#This Row],[$/Hour]]*Main[[#This Row],[Hours/week]])*52</f>
        <v>17160</v>
      </c>
      <c r="G33" s="10">
        <v>31200</v>
      </c>
      <c r="H33" s="10">
        <f>IF(ISNUMBER(Main[[#This Row],[Sales]]),Main[[#This Row],[Sales]]*0.03,"-")</f>
        <v>936</v>
      </c>
      <c r="I33">
        <f ca="1">DATEDIF(Main[[#This Row],[Date Hired]],TODAY(),"Y")</f>
        <v>21</v>
      </c>
      <c r="J33" s="9">
        <f ca="1">IF(Main[[#This Row],[Years of Service]]&gt;=30,1000,IF(Main[[#This Row],[Years of Service]]&gt;=25,750,IF(Main[[#This Row],[Years of Service]]&gt;=20,500,IF(Main[[#This Row],[Years of Service]]&gt;=15,300,IF(Main[[#This Row],[Years of Service]]&gt;=10,150,IF(Main[[#This Row],[Years of Service]]&gt;=5,75,0))))))</f>
        <v>500</v>
      </c>
      <c r="K33" s="9">
        <f ca="1">SUM(Main[[#This Row],[Longevity]],Main[[#This Row],[Yearly Salary]],Main[[#This Row],[Commission]])</f>
        <v>18596</v>
      </c>
      <c r="L33" s="9" t="s">
        <v>30</v>
      </c>
      <c r="M33" s="11">
        <v>35838</v>
      </c>
      <c r="N33" s="12">
        <v>2032872342</v>
      </c>
      <c r="O33" s="13" t="s">
        <v>135</v>
      </c>
      <c r="P33" s="14" t="s">
        <v>136</v>
      </c>
      <c r="Q33" t="s">
        <v>42</v>
      </c>
      <c r="R33" s="16">
        <v>6514</v>
      </c>
      <c r="S33" s="12">
        <v>2035383514</v>
      </c>
      <c r="T33">
        <v>54</v>
      </c>
    </row>
    <row r="34" spans="1:20" x14ac:dyDescent="0.25">
      <c r="A34" s="8">
        <v>33</v>
      </c>
      <c r="B34" t="s">
        <v>137</v>
      </c>
      <c r="C34" t="s">
        <v>13</v>
      </c>
      <c r="D34" s="9">
        <f>IF(Main[[#This Row],[Department]]="Management",40,IF(Main[[#This Row],[Department]]="Sales",22,IF(Main[[#This Row],[Department]]="Human Resources",28,IF(Main[[#This Row],[Department]]="Marketing",26,IF(Main[[#This Row],[Department]]="Custodial",26,"Temp")))))</f>
        <v>22</v>
      </c>
      <c r="E34">
        <v>15</v>
      </c>
      <c r="F34" s="9">
        <f>(Main[[#This Row],[$/Hour]]*Main[[#This Row],[Hours/week]])*52</f>
        <v>17160</v>
      </c>
      <c r="G34" s="10">
        <v>34320</v>
      </c>
      <c r="H34" s="10">
        <f>IF(ISNUMBER(Main[[#This Row],[Sales]]),Main[[#This Row],[Sales]]*0.03,"-")</f>
        <v>1029.5999999999999</v>
      </c>
      <c r="I34">
        <f ca="1">DATEDIF(Main[[#This Row],[Date Hired]],TODAY(),"Y")</f>
        <v>7</v>
      </c>
      <c r="J34" s="9">
        <f ca="1">IF(Main[[#This Row],[Years of Service]]&gt;=30,1000,IF(Main[[#This Row],[Years of Service]]&gt;=25,750,IF(Main[[#This Row],[Years of Service]]&gt;=20,500,IF(Main[[#This Row],[Years of Service]]&gt;=15,300,IF(Main[[#This Row],[Years of Service]]&gt;=10,150,IF(Main[[#This Row],[Years of Service]]&gt;=5,75,0))))))</f>
        <v>75</v>
      </c>
      <c r="K34" s="9">
        <f ca="1">SUM(Main[[#This Row],[Longevity]],Main[[#This Row],[Yearly Salary]],Main[[#This Row],[Commission]])</f>
        <v>18264.599999999999</v>
      </c>
      <c r="L34" s="9" t="s">
        <v>30</v>
      </c>
      <c r="M34" s="11">
        <v>40961</v>
      </c>
      <c r="N34" s="12">
        <v>2032872656</v>
      </c>
      <c r="O34" s="13" t="s">
        <v>138</v>
      </c>
      <c r="P34" s="14" t="s">
        <v>139</v>
      </c>
      <c r="Q34" t="s">
        <v>42</v>
      </c>
      <c r="R34" s="16">
        <v>6518</v>
      </c>
      <c r="S34" s="12">
        <v>2039925745</v>
      </c>
      <c r="T34">
        <v>32</v>
      </c>
    </row>
    <row r="35" spans="1:20" x14ac:dyDescent="0.25">
      <c r="A35" s="8">
        <v>34</v>
      </c>
      <c r="B35" t="s">
        <v>140</v>
      </c>
      <c r="C35" t="s">
        <v>13</v>
      </c>
      <c r="D35" s="9">
        <f>IF(Main[[#This Row],[Department]]="Management",40,IF(Main[[#This Row],[Department]]="Sales",22,IF(Main[[#This Row],[Department]]="Human Resources",28,IF(Main[[#This Row],[Department]]="Marketing",26,IF(Main[[#This Row],[Department]]="Custodial",26,"Temp")))))</f>
        <v>22</v>
      </c>
      <c r="E35">
        <v>37.5</v>
      </c>
      <c r="F35" s="9">
        <f>(Main[[#This Row],[$/Hour]]*Main[[#This Row],[Hours/week]])*52</f>
        <v>42900</v>
      </c>
      <c r="G35" s="10">
        <v>165750</v>
      </c>
      <c r="H35" s="10">
        <f>IF(ISNUMBER(Main[[#This Row],[Sales]]),Main[[#This Row],[Sales]]*0.03,"-")</f>
        <v>4972.5</v>
      </c>
      <c r="I35">
        <f ca="1">DATEDIF(Main[[#This Row],[Date Hired]],TODAY(),"Y")</f>
        <v>33</v>
      </c>
      <c r="J35" s="9">
        <f ca="1">IF(Main[[#This Row],[Years of Service]]&gt;=30,1000,IF(Main[[#This Row],[Years of Service]]&gt;=25,750,IF(Main[[#This Row],[Years of Service]]&gt;=20,500,IF(Main[[#This Row],[Years of Service]]&gt;=15,300,IF(Main[[#This Row],[Years of Service]]&gt;=10,150,IF(Main[[#This Row],[Years of Service]]&gt;=5,75,0))))))</f>
        <v>1000</v>
      </c>
      <c r="K35" s="9">
        <f ca="1">SUM(Main[[#This Row],[Longevity]],Main[[#This Row],[Yearly Salary]],Main[[#This Row],[Commission]])</f>
        <v>48872.5</v>
      </c>
      <c r="L35" s="9" t="s">
        <v>35</v>
      </c>
      <c r="M35" s="11">
        <v>31266</v>
      </c>
      <c r="N35" s="12">
        <v>2032872362</v>
      </c>
      <c r="O35" s="13" t="s">
        <v>141</v>
      </c>
      <c r="P35" s="14" t="s">
        <v>142</v>
      </c>
      <c r="Q35" t="s">
        <v>81</v>
      </c>
      <c r="R35" s="16">
        <v>6538</v>
      </c>
      <c r="S35" s="12">
        <v>1132794083</v>
      </c>
      <c r="T35">
        <v>62</v>
      </c>
    </row>
    <row r="36" spans="1:20" x14ac:dyDescent="0.25">
      <c r="A36" s="8">
        <v>35</v>
      </c>
      <c r="B36" t="s">
        <v>143</v>
      </c>
      <c r="C36" t="s">
        <v>13</v>
      </c>
      <c r="D36" s="9">
        <f>IF(Main[[#This Row],[Department]]="Management",40,IF(Main[[#This Row],[Department]]="Sales",22,IF(Main[[#This Row],[Department]]="Human Resources",28,IF(Main[[#This Row],[Department]]="Marketing",26,IF(Main[[#This Row],[Department]]="Custodial",26,"Temp")))))</f>
        <v>22</v>
      </c>
      <c r="E36">
        <v>19.5</v>
      </c>
      <c r="F36" s="9">
        <f>(Main[[#This Row],[$/Hour]]*Main[[#This Row],[Hours/week]])*52</f>
        <v>22308</v>
      </c>
      <c r="G36" s="10">
        <v>29406</v>
      </c>
      <c r="H36" s="10">
        <f>IF(ISNUMBER(Main[[#This Row],[Sales]]),Main[[#This Row],[Sales]]*0.03,"-")</f>
        <v>882.18</v>
      </c>
      <c r="I36">
        <f ca="1">DATEDIF(Main[[#This Row],[Date Hired]],TODAY(),"Y")</f>
        <v>20</v>
      </c>
      <c r="J36" s="9">
        <f ca="1">IF(Main[[#This Row],[Years of Service]]&gt;=30,1000,IF(Main[[#This Row],[Years of Service]]&gt;=25,750,IF(Main[[#This Row],[Years of Service]]&gt;=20,500,IF(Main[[#This Row],[Years of Service]]&gt;=15,300,IF(Main[[#This Row],[Years of Service]]&gt;=10,150,IF(Main[[#This Row],[Years of Service]]&gt;=5,75,0))))))</f>
        <v>500</v>
      </c>
      <c r="K36" s="9">
        <f ca="1">SUM(Main[[#This Row],[Longevity]],Main[[#This Row],[Yearly Salary]],Main[[#This Row],[Commission]])</f>
        <v>23690.18</v>
      </c>
      <c r="L36" s="9" t="s">
        <v>30</v>
      </c>
      <c r="M36" s="11">
        <v>35893</v>
      </c>
      <c r="N36" s="12">
        <v>2032872620</v>
      </c>
      <c r="O36" s="13" t="s">
        <v>144</v>
      </c>
      <c r="P36" s="14" t="s">
        <v>145</v>
      </c>
      <c r="Q36" t="s">
        <v>33</v>
      </c>
      <c r="R36" s="16">
        <v>6473</v>
      </c>
      <c r="S36" s="12">
        <v>2038969893</v>
      </c>
      <c r="T36">
        <v>43</v>
      </c>
    </row>
    <row r="37" spans="1:20" x14ac:dyDescent="0.25">
      <c r="A37" s="8">
        <v>36</v>
      </c>
      <c r="B37" t="s">
        <v>146</v>
      </c>
      <c r="C37" t="s">
        <v>62</v>
      </c>
      <c r="D37" s="9">
        <f>IF(Main[[#This Row],[Department]]="Management",40,IF(Main[[#This Row],[Department]]="Sales",22,IF(Main[[#This Row],[Department]]="Human Resources",28,IF(Main[[#This Row],[Department]]="Marketing",26,IF(Main[[#This Row],[Department]]="Custodial",26,"Temp")))))</f>
        <v>26</v>
      </c>
      <c r="E37">
        <v>35</v>
      </c>
      <c r="F37" s="9">
        <f>(Main[[#This Row],[$/Hour]]*Main[[#This Row],[Hours/week]])*52</f>
        <v>47320</v>
      </c>
      <c r="G37" s="10" t="s">
        <v>29</v>
      </c>
      <c r="H37" s="10" t="str">
        <f>IF(ISNUMBER(Main[[#This Row],[Sales]]),Main[[#This Row],[Sales]]*0.03,"-")</f>
        <v>-</v>
      </c>
      <c r="I37">
        <f ca="1">DATEDIF(Main[[#This Row],[Date Hired]],TODAY(),"Y")</f>
        <v>28</v>
      </c>
      <c r="J37" s="9">
        <f ca="1">IF(Main[[#This Row],[Years of Service]]&gt;=30,1000,IF(Main[[#This Row],[Years of Service]]&gt;=25,750,IF(Main[[#This Row],[Years of Service]]&gt;=20,500,IF(Main[[#This Row],[Years of Service]]&gt;=15,300,IF(Main[[#This Row],[Years of Service]]&gt;=10,150,IF(Main[[#This Row],[Years of Service]]&gt;=5,75,0))))))</f>
        <v>750</v>
      </c>
      <c r="K37" s="9">
        <f ca="1">SUM(Main[[#This Row],[Longevity]],Main[[#This Row],[Yearly Salary]],Main[[#This Row],[Commission]])</f>
        <v>48070</v>
      </c>
      <c r="L37" s="9" t="s">
        <v>30</v>
      </c>
      <c r="M37" s="11">
        <v>33064</v>
      </c>
      <c r="N37" s="12">
        <v>2032872673</v>
      </c>
      <c r="O37" s="13" t="s">
        <v>147</v>
      </c>
      <c r="P37" s="14" t="s">
        <v>148</v>
      </c>
      <c r="Q37" t="s">
        <v>42</v>
      </c>
      <c r="R37" s="16">
        <v>6514</v>
      </c>
      <c r="S37" s="12">
        <v>2038788540</v>
      </c>
      <c r="T37">
        <v>52</v>
      </c>
    </row>
    <row r="38" spans="1:20" x14ac:dyDescent="0.25">
      <c r="A38" s="8">
        <v>37</v>
      </c>
      <c r="B38" t="s">
        <v>149</v>
      </c>
      <c r="C38" t="s">
        <v>62</v>
      </c>
      <c r="D38" s="9">
        <f>IF(Main[[#This Row],[Department]]="Management",40,IF(Main[[#This Row],[Department]]="Sales",22,IF(Main[[#This Row],[Department]]="Human Resources",28,IF(Main[[#This Row],[Department]]="Marketing",26,IF(Main[[#This Row],[Department]]="Custodial",26,"Temp")))))</f>
        <v>26</v>
      </c>
      <c r="E38">
        <v>23</v>
      </c>
      <c r="F38" s="9">
        <f>(Main[[#This Row],[$/Hour]]*Main[[#This Row],[Hours/week]])*52</f>
        <v>31096</v>
      </c>
      <c r="G38" s="10" t="s">
        <v>29</v>
      </c>
      <c r="H38" s="10" t="str">
        <f>IF(ISNUMBER(Main[[#This Row],[Sales]]),Main[[#This Row],[Sales]]*0.03,"-")</f>
        <v>-</v>
      </c>
      <c r="I38">
        <f ca="1">DATEDIF(Main[[#This Row],[Date Hired]],TODAY(),"Y")</f>
        <v>30</v>
      </c>
      <c r="J38" s="9">
        <f ca="1">IF(Main[[#This Row],[Years of Service]]&gt;=30,1000,IF(Main[[#This Row],[Years of Service]]&gt;=25,750,IF(Main[[#This Row],[Years of Service]]&gt;=20,500,IF(Main[[#This Row],[Years of Service]]&gt;=15,300,IF(Main[[#This Row],[Years of Service]]&gt;=10,150,IF(Main[[#This Row],[Years of Service]]&gt;=5,75,0))))))</f>
        <v>1000</v>
      </c>
      <c r="K38" s="9">
        <f ca="1">SUM(Main[[#This Row],[Longevity]],Main[[#This Row],[Yearly Salary]],Main[[#This Row],[Commission]])</f>
        <v>32096</v>
      </c>
      <c r="L38" s="9" t="s">
        <v>35</v>
      </c>
      <c r="M38" s="11">
        <v>32264</v>
      </c>
      <c r="N38" s="12">
        <v>2032872368</v>
      </c>
      <c r="O38" s="13" t="s">
        <v>150</v>
      </c>
      <c r="P38" s="14" t="s">
        <v>151</v>
      </c>
      <c r="Q38" t="s">
        <v>88</v>
      </c>
      <c r="R38" s="16">
        <v>6524</v>
      </c>
      <c r="S38" s="12">
        <v>2034886969</v>
      </c>
      <c r="T38">
        <v>63</v>
      </c>
    </row>
    <row r="39" spans="1:20" x14ac:dyDescent="0.25">
      <c r="A39" s="8">
        <v>38</v>
      </c>
      <c r="B39" t="s">
        <v>152</v>
      </c>
      <c r="C39" t="s">
        <v>13</v>
      </c>
      <c r="D39" s="9">
        <f>IF(Main[[#This Row],[Department]]="Management",40,IF(Main[[#This Row],[Department]]="Sales",22,IF(Main[[#This Row],[Department]]="Human Resources",28,IF(Main[[#This Row],[Department]]="Marketing",26,IF(Main[[#This Row],[Department]]="Custodial",26,"Temp")))))</f>
        <v>22</v>
      </c>
      <c r="E39">
        <v>15</v>
      </c>
      <c r="F39" s="9">
        <f>(Main[[#This Row],[$/Hour]]*Main[[#This Row],[Hours/week]])*52</f>
        <v>17160</v>
      </c>
      <c r="G39" s="10">
        <v>53820</v>
      </c>
      <c r="H39" s="10">
        <f>IF(ISNUMBER(Main[[#This Row],[Sales]]),Main[[#This Row],[Sales]]*0.03,"-")</f>
        <v>1614.6</v>
      </c>
      <c r="I39">
        <f ca="1">DATEDIF(Main[[#This Row],[Date Hired]],TODAY(),"Y")</f>
        <v>20</v>
      </c>
      <c r="J39" s="9">
        <f ca="1">IF(Main[[#This Row],[Years of Service]]&gt;=30,1000,IF(Main[[#This Row],[Years of Service]]&gt;=25,750,IF(Main[[#This Row],[Years of Service]]&gt;=20,500,IF(Main[[#This Row],[Years of Service]]&gt;=15,300,IF(Main[[#This Row],[Years of Service]]&gt;=10,150,IF(Main[[#This Row],[Years of Service]]&gt;=5,75,0))))))</f>
        <v>500</v>
      </c>
      <c r="K39" s="9">
        <f ca="1">SUM(Main[[#This Row],[Longevity]],Main[[#This Row],[Yearly Salary]],Main[[#This Row],[Commission]])</f>
        <v>19274.599999999999</v>
      </c>
      <c r="L39" s="9" t="s">
        <v>30</v>
      </c>
      <c r="M39" s="11">
        <v>36201</v>
      </c>
      <c r="N39" s="12">
        <v>2032872347</v>
      </c>
      <c r="O39" s="13" t="s">
        <v>153</v>
      </c>
      <c r="P39" s="14" t="s">
        <v>154</v>
      </c>
      <c r="Q39" t="s">
        <v>33</v>
      </c>
      <c r="R39" s="16">
        <v>6473</v>
      </c>
      <c r="S39" s="12">
        <v>6885867423</v>
      </c>
      <c r="T39">
        <v>45</v>
      </c>
    </row>
    <row r="40" spans="1:20" x14ac:dyDescent="0.25">
      <c r="A40" s="8">
        <v>39</v>
      </c>
      <c r="B40" t="s">
        <v>155</v>
      </c>
      <c r="C40" t="s">
        <v>62</v>
      </c>
      <c r="D40" s="9">
        <f>IF(Main[[#This Row],[Department]]="Management",40,IF(Main[[#This Row],[Department]]="Sales",22,IF(Main[[#This Row],[Department]]="Human Resources",28,IF(Main[[#This Row],[Department]]="Marketing",26,IF(Main[[#This Row],[Department]]="Custodial",26,"Temp")))))</f>
        <v>26</v>
      </c>
      <c r="E40">
        <v>37.5</v>
      </c>
      <c r="F40" s="9">
        <f>(Main[[#This Row],[$/Hour]]*Main[[#This Row],[Hours/week]])*52</f>
        <v>50700</v>
      </c>
      <c r="G40" s="10" t="s">
        <v>29</v>
      </c>
      <c r="H40" s="10" t="str">
        <f>IF(ISNUMBER(Main[[#This Row],[Sales]]),Main[[#This Row],[Sales]]*0.03,"-")</f>
        <v>-</v>
      </c>
      <c r="I40">
        <f ca="1">DATEDIF(Main[[#This Row],[Date Hired]],TODAY(),"Y")</f>
        <v>18</v>
      </c>
      <c r="J40" s="9">
        <f ca="1">IF(Main[[#This Row],[Years of Service]]&gt;=30,1000,IF(Main[[#This Row],[Years of Service]]&gt;=25,750,IF(Main[[#This Row],[Years of Service]]&gt;=20,500,IF(Main[[#This Row],[Years of Service]]&gt;=15,300,IF(Main[[#This Row],[Years of Service]]&gt;=10,150,IF(Main[[#This Row],[Years of Service]]&gt;=5,75,0))))))</f>
        <v>300</v>
      </c>
      <c r="K40" s="9">
        <f ca="1">SUM(Main[[#This Row],[Longevity]],Main[[#This Row],[Yearly Salary]],Main[[#This Row],[Commission]])</f>
        <v>51000</v>
      </c>
      <c r="L40" s="9" t="s">
        <v>35</v>
      </c>
      <c r="M40" s="11">
        <v>36719</v>
      </c>
      <c r="N40" s="12">
        <v>2032872326</v>
      </c>
      <c r="O40" s="13" t="s">
        <v>156</v>
      </c>
      <c r="P40" s="14" t="s">
        <v>157</v>
      </c>
      <c r="Q40" t="s">
        <v>33</v>
      </c>
      <c r="R40" s="16">
        <v>6473</v>
      </c>
      <c r="S40" s="12">
        <v>2038001389</v>
      </c>
      <c r="T40">
        <v>39</v>
      </c>
    </row>
    <row r="41" spans="1:20" x14ac:dyDescent="0.25">
      <c r="A41" s="8">
        <v>40</v>
      </c>
      <c r="B41" t="s">
        <v>158</v>
      </c>
      <c r="C41" t="s">
        <v>62</v>
      </c>
      <c r="D41" s="9">
        <f>IF(Main[[#This Row],[Department]]="Management",40,IF(Main[[#This Row],[Department]]="Sales",22,IF(Main[[#This Row],[Department]]="Human Resources",28,IF(Main[[#This Row],[Department]]="Marketing",26,IF(Main[[#This Row],[Department]]="Custodial",26,"Temp")))))</f>
        <v>26</v>
      </c>
      <c r="E41">
        <v>19.5</v>
      </c>
      <c r="F41" s="9">
        <f>(Main[[#This Row],[$/Hour]]*Main[[#This Row],[Hours/week]])*52</f>
        <v>26364</v>
      </c>
      <c r="G41" s="10" t="s">
        <v>29</v>
      </c>
      <c r="H41" s="10" t="str">
        <f>IF(ISNUMBER(Main[[#This Row],[Sales]]),Main[[#This Row],[Sales]]*0.03,"-")</f>
        <v>-</v>
      </c>
      <c r="I41">
        <f ca="1">DATEDIF(Main[[#This Row],[Date Hired]],TODAY(),"Y")</f>
        <v>16</v>
      </c>
      <c r="J41" s="9">
        <f ca="1">IF(Main[[#This Row],[Years of Service]]&gt;=30,1000,IF(Main[[#This Row],[Years of Service]]&gt;=25,750,IF(Main[[#This Row],[Years of Service]]&gt;=20,500,IF(Main[[#This Row],[Years of Service]]&gt;=15,300,IF(Main[[#This Row],[Years of Service]]&gt;=10,150,IF(Main[[#This Row],[Years of Service]]&gt;=5,75,0))))))</f>
        <v>300</v>
      </c>
      <c r="K41" s="9">
        <f ca="1">SUM(Main[[#This Row],[Longevity]],Main[[#This Row],[Yearly Salary]],Main[[#This Row],[Commission]])</f>
        <v>26664</v>
      </c>
      <c r="L41" s="9" t="s">
        <v>35</v>
      </c>
      <c r="M41" s="11">
        <v>37423</v>
      </c>
      <c r="N41" s="12">
        <v>2032872611</v>
      </c>
      <c r="O41" s="13" t="s">
        <v>159</v>
      </c>
      <c r="P41" s="14" t="s">
        <v>160</v>
      </c>
      <c r="Q41" t="s">
        <v>81</v>
      </c>
      <c r="R41" s="16">
        <v>6535</v>
      </c>
      <c r="S41" s="12">
        <v>2035315510</v>
      </c>
      <c r="T41">
        <v>36</v>
      </c>
    </row>
    <row r="42" spans="1:20" x14ac:dyDescent="0.25">
      <c r="A42" s="8">
        <v>41</v>
      </c>
      <c r="B42" t="s">
        <v>161</v>
      </c>
      <c r="C42" t="s">
        <v>13</v>
      </c>
      <c r="D42" s="9">
        <f>IF(Main[[#This Row],[Department]]="Management",40,IF(Main[[#This Row],[Department]]="Sales",22,IF(Main[[#This Row],[Department]]="Human Resources",28,IF(Main[[#This Row],[Department]]="Marketing",26,IF(Main[[#This Row],[Department]]="Custodial",26,"Temp")))))</f>
        <v>22</v>
      </c>
      <c r="E42">
        <v>23</v>
      </c>
      <c r="F42" s="9">
        <f>(Main[[#This Row],[$/Hour]]*Main[[#This Row],[Hours/week]])*52</f>
        <v>26312</v>
      </c>
      <c r="G42" s="10">
        <v>84916</v>
      </c>
      <c r="H42" s="10">
        <f>IF(ISNUMBER(Main[[#This Row],[Sales]]),Main[[#This Row],[Sales]]*0.03,"-")</f>
        <v>2547.48</v>
      </c>
      <c r="I42">
        <f ca="1">DATEDIF(Main[[#This Row],[Date Hired]],TODAY(),"Y")</f>
        <v>29</v>
      </c>
      <c r="J42" s="9">
        <f ca="1">IF(Main[[#This Row],[Years of Service]]&gt;=30,1000,IF(Main[[#This Row],[Years of Service]]&gt;=25,750,IF(Main[[#This Row],[Years of Service]]&gt;=20,500,IF(Main[[#This Row],[Years of Service]]&gt;=15,300,IF(Main[[#This Row],[Years of Service]]&gt;=10,150,IF(Main[[#This Row],[Years of Service]]&gt;=5,75,0))))))</f>
        <v>750</v>
      </c>
      <c r="K42" s="9">
        <f ca="1">SUM(Main[[#This Row],[Longevity]],Main[[#This Row],[Yearly Salary]],Main[[#This Row],[Commission]])</f>
        <v>29609.48</v>
      </c>
      <c r="L42" s="9" t="s">
        <v>30</v>
      </c>
      <c r="M42" s="11">
        <v>32854</v>
      </c>
      <c r="N42" s="12">
        <v>2032872333</v>
      </c>
      <c r="O42" s="13" t="s">
        <v>162</v>
      </c>
      <c r="P42" s="14" t="s">
        <v>163</v>
      </c>
      <c r="Q42" t="s">
        <v>38</v>
      </c>
      <c r="R42" s="16">
        <v>6492</v>
      </c>
      <c r="S42" s="12">
        <v>2036084059</v>
      </c>
      <c r="T42">
        <v>53</v>
      </c>
    </row>
    <row r="43" spans="1:20" x14ac:dyDescent="0.25">
      <c r="A43" s="8">
        <v>42</v>
      </c>
      <c r="B43" t="s">
        <v>164</v>
      </c>
      <c r="C43" t="s">
        <v>13</v>
      </c>
      <c r="D43" s="9">
        <f>IF(Main[[#This Row],[Department]]="Management",40,IF(Main[[#This Row],[Department]]="Sales",22,IF(Main[[#This Row],[Department]]="Human Resources",28,IF(Main[[#This Row],[Department]]="Marketing",26,IF(Main[[#This Row],[Department]]="Custodial",26,"Temp")))))</f>
        <v>22</v>
      </c>
      <c r="E43">
        <v>37.5</v>
      </c>
      <c r="F43" s="9">
        <f>(Main[[#This Row],[$/Hour]]*Main[[#This Row],[Hours/week]])*52</f>
        <v>42900</v>
      </c>
      <c r="G43" s="10">
        <v>126750</v>
      </c>
      <c r="H43" s="10">
        <f>IF(ISNUMBER(Main[[#This Row],[Sales]]),Main[[#This Row],[Sales]]*0.03,"-")</f>
        <v>3802.5</v>
      </c>
      <c r="I43">
        <f ca="1">DATEDIF(Main[[#This Row],[Date Hired]],TODAY(),"Y")</f>
        <v>13</v>
      </c>
      <c r="J43" s="9">
        <f ca="1">IF(Main[[#This Row],[Years of Service]]&gt;=30,1000,IF(Main[[#This Row],[Years of Service]]&gt;=25,750,IF(Main[[#This Row],[Years of Service]]&gt;=20,500,IF(Main[[#This Row],[Years of Service]]&gt;=15,300,IF(Main[[#This Row],[Years of Service]]&gt;=10,150,IF(Main[[#This Row],[Years of Service]]&gt;=5,75,0))))))</f>
        <v>150</v>
      </c>
      <c r="K43" s="9">
        <f ca="1">SUM(Main[[#This Row],[Longevity]],Main[[#This Row],[Yearly Salary]],Main[[#This Row],[Commission]])</f>
        <v>46852.5</v>
      </c>
      <c r="L43" s="9" t="s">
        <v>35</v>
      </c>
      <c r="M43" s="11">
        <v>38679</v>
      </c>
      <c r="N43" s="12">
        <v>2032872389</v>
      </c>
      <c r="O43" s="13" t="s">
        <v>165</v>
      </c>
      <c r="P43" s="14" t="s">
        <v>166</v>
      </c>
      <c r="Q43" t="s">
        <v>33</v>
      </c>
      <c r="R43" s="16">
        <v>6473</v>
      </c>
      <c r="S43" s="12">
        <v>2037782564</v>
      </c>
      <c r="T43">
        <v>48</v>
      </c>
    </row>
    <row r="44" spans="1:20" x14ac:dyDescent="0.25">
      <c r="A44" s="8">
        <v>43</v>
      </c>
      <c r="B44" t="s">
        <v>167</v>
      </c>
      <c r="C44" t="s">
        <v>62</v>
      </c>
      <c r="D44" s="9">
        <f>IF(Main[[#This Row],[Department]]="Management",40,IF(Main[[#This Row],[Department]]="Sales",22,IF(Main[[#This Row],[Department]]="Human Resources",28,IF(Main[[#This Row],[Department]]="Marketing",26,IF(Main[[#This Row],[Department]]="Custodial",26,"Temp")))))</f>
        <v>26</v>
      </c>
      <c r="E44">
        <v>15</v>
      </c>
      <c r="F44" s="9">
        <f>(Main[[#This Row],[$/Hour]]*Main[[#This Row],[Hours/week]])*52</f>
        <v>20280</v>
      </c>
      <c r="G44" s="10" t="s">
        <v>29</v>
      </c>
      <c r="H44" s="10" t="str">
        <f>IF(ISNUMBER(Main[[#This Row],[Sales]]),Main[[#This Row],[Sales]]*0.03,"-")</f>
        <v>-</v>
      </c>
      <c r="I44">
        <f ca="1">DATEDIF(Main[[#This Row],[Date Hired]],TODAY(),"Y")</f>
        <v>14</v>
      </c>
      <c r="J44" s="9">
        <f ca="1">IF(Main[[#This Row],[Years of Service]]&gt;=30,1000,IF(Main[[#This Row],[Years of Service]]&gt;=25,750,IF(Main[[#This Row],[Years of Service]]&gt;=20,500,IF(Main[[#This Row],[Years of Service]]&gt;=15,300,IF(Main[[#This Row],[Years of Service]]&gt;=10,150,IF(Main[[#This Row],[Years of Service]]&gt;=5,75,0))))))</f>
        <v>150</v>
      </c>
      <c r="K44" s="9">
        <f ca="1">SUM(Main[[#This Row],[Longevity]],Main[[#This Row],[Yearly Salary]],Main[[#This Row],[Commission]])</f>
        <v>20430</v>
      </c>
      <c r="L44" s="9" t="s">
        <v>35</v>
      </c>
      <c r="M44" s="11">
        <v>38076</v>
      </c>
      <c r="N44" s="12">
        <v>2032872674</v>
      </c>
      <c r="O44" s="13" t="s">
        <v>168</v>
      </c>
      <c r="P44" s="14" t="s">
        <v>169</v>
      </c>
      <c r="Q44" t="s">
        <v>46</v>
      </c>
      <c r="R44" s="16">
        <v>6513</v>
      </c>
      <c r="S44" s="12">
        <v>2035191801</v>
      </c>
      <c r="T44">
        <v>39</v>
      </c>
    </row>
    <row r="45" spans="1:20" x14ac:dyDescent="0.25">
      <c r="A45" s="8">
        <v>44</v>
      </c>
      <c r="B45" t="s">
        <v>170</v>
      </c>
      <c r="C45" t="s">
        <v>13</v>
      </c>
      <c r="D45" s="9">
        <f>IF(Main[[#This Row],[Department]]="Management",40,IF(Main[[#This Row],[Department]]="Sales",22,IF(Main[[#This Row],[Department]]="Human Resources",28,IF(Main[[#This Row],[Department]]="Marketing",26,IF(Main[[#This Row],[Department]]="Custodial",26,"Temp")))))</f>
        <v>22</v>
      </c>
      <c r="E45">
        <v>19.5</v>
      </c>
      <c r="F45" s="9">
        <f>(Main[[#This Row],[$/Hour]]*Main[[#This Row],[Hours/week]])*52</f>
        <v>22308</v>
      </c>
      <c r="G45" s="10">
        <v>80106</v>
      </c>
      <c r="H45" s="10">
        <f>IF(ISNUMBER(Main[[#This Row],[Sales]]),Main[[#This Row],[Sales]]*0.03,"-")</f>
        <v>2403.1799999999998</v>
      </c>
      <c r="I45">
        <f ca="1">DATEDIF(Main[[#This Row],[Date Hired]],TODAY(),"Y")</f>
        <v>31</v>
      </c>
      <c r="J45" s="9">
        <f ca="1">IF(Main[[#This Row],[Years of Service]]&gt;=30,1000,IF(Main[[#This Row],[Years of Service]]&gt;=25,750,IF(Main[[#This Row],[Years of Service]]&gt;=20,500,IF(Main[[#This Row],[Years of Service]]&gt;=15,300,IF(Main[[#This Row],[Years of Service]]&gt;=10,150,IF(Main[[#This Row],[Years of Service]]&gt;=5,75,0))))))</f>
        <v>1000</v>
      </c>
      <c r="K45" s="9">
        <f ca="1">SUM(Main[[#This Row],[Longevity]],Main[[#This Row],[Yearly Salary]],Main[[#This Row],[Commission]])</f>
        <v>25711.18</v>
      </c>
      <c r="L45" s="9" t="s">
        <v>30</v>
      </c>
      <c r="M45" s="11">
        <v>32136</v>
      </c>
      <c r="N45" s="12">
        <v>2032872696</v>
      </c>
      <c r="O45" s="13" t="s">
        <v>171</v>
      </c>
      <c r="P45" s="14" t="s">
        <v>172</v>
      </c>
      <c r="Q45" t="s">
        <v>42</v>
      </c>
      <c r="R45" s="16">
        <v>6518</v>
      </c>
      <c r="S45" s="12">
        <v>2031331048</v>
      </c>
      <c r="T45">
        <v>57</v>
      </c>
    </row>
    <row r="46" spans="1:20" x14ac:dyDescent="0.25">
      <c r="A46" s="8">
        <v>45</v>
      </c>
      <c r="B46" t="s">
        <v>173</v>
      </c>
      <c r="C46" t="s">
        <v>13</v>
      </c>
      <c r="D46" s="9">
        <f>IF(Main[[#This Row],[Department]]="Management",40,IF(Main[[#This Row],[Department]]="Sales",22,IF(Main[[#This Row],[Department]]="Human Resources",28,IF(Main[[#This Row],[Department]]="Marketing",26,IF(Main[[#This Row],[Department]]="Custodial",26,"Temp")))))</f>
        <v>22</v>
      </c>
      <c r="E46">
        <v>35</v>
      </c>
      <c r="F46" s="9">
        <f>(Main[[#This Row],[$/Hour]]*Main[[#This Row],[Hours/week]])*52</f>
        <v>40040</v>
      </c>
      <c r="G46" s="10">
        <v>103740</v>
      </c>
      <c r="H46" s="10">
        <f>IF(ISNUMBER(Main[[#This Row],[Sales]]),Main[[#This Row],[Sales]]*0.03,"-")</f>
        <v>3112.2</v>
      </c>
      <c r="I46">
        <f ca="1">DATEDIF(Main[[#This Row],[Date Hired]],TODAY(),"Y")</f>
        <v>20</v>
      </c>
      <c r="J46" s="9">
        <f ca="1">IF(Main[[#This Row],[Years of Service]]&gt;=30,1000,IF(Main[[#This Row],[Years of Service]]&gt;=25,750,IF(Main[[#This Row],[Years of Service]]&gt;=20,500,IF(Main[[#This Row],[Years of Service]]&gt;=15,300,IF(Main[[#This Row],[Years of Service]]&gt;=10,150,IF(Main[[#This Row],[Years of Service]]&gt;=5,75,0))))))</f>
        <v>500</v>
      </c>
      <c r="K46" s="9">
        <f ca="1">SUM(Main[[#This Row],[Longevity]],Main[[#This Row],[Yearly Salary]],Main[[#This Row],[Commission]])</f>
        <v>43652.2</v>
      </c>
      <c r="L46" s="9" t="s">
        <v>35</v>
      </c>
      <c r="M46" s="11">
        <v>35900</v>
      </c>
      <c r="N46" s="12">
        <v>2032872653</v>
      </c>
      <c r="O46" s="13" t="s">
        <v>174</v>
      </c>
      <c r="P46" s="14" t="s">
        <v>175</v>
      </c>
      <c r="Q46" t="s">
        <v>50</v>
      </c>
      <c r="R46" s="16">
        <v>6410</v>
      </c>
      <c r="S46" s="12">
        <v>2039329596</v>
      </c>
      <c r="T46">
        <v>53</v>
      </c>
    </row>
    <row r="47" spans="1:20" x14ac:dyDescent="0.25">
      <c r="A47" s="8">
        <v>46</v>
      </c>
      <c r="B47" t="s">
        <v>176</v>
      </c>
      <c r="C47" t="s">
        <v>13</v>
      </c>
      <c r="D47" s="9">
        <f>IF(Main[[#This Row],[Department]]="Management",40,IF(Main[[#This Row],[Department]]="Sales",22,IF(Main[[#This Row],[Department]]="Human Resources",28,IF(Main[[#This Row],[Department]]="Marketing",26,IF(Main[[#This Row],[Department]]="Custodial",26,"Temp")))))</f>
        <v>22</v>
      </c>
      <c r="E47">
        <v>35</v>
      </c>
      <c r="F47" s="9">
        <f>(Main[[#This Row],[$/Hour]]*Main[[#This Row],[Hours/week]])*52</f>
        <v>40040</v>
      </c>
      <c r="G47" s="10">
        <v>169260</v>
      </c>
      <c r="H47" s="10">
        <f>IF(ISNUMBER(Main[[#This Row],[Sales]]),Main[[#This Row],[Sales]]*0.03,"-")</f>
        <v>5077.8</v>
      </c>
      <c r="I47">
        <f ca="1">DATEDIF(Main[[#This Row],[Date Hired]],TODAY(),"Y")</f>
        <v>31</v>
      </c>
      <c r="J47" s="9">
        <f ca="1">IF(Main[[#This Row],[Years of Service]]&gt;=30,1000,IF(Main[[#This Row],[Years of Service]]&gt;=25,750,IF(Main[[#This Row],[Years of Service]]&gt;=20,500,IF(Main[[#This Row],[Years of Service]]&gt;=15,300,IF(Main[[#This Row],[Years of Service]]&gt;=10,150,IF(Main[[#This Row],[Years of Service]]&gt;=5,75,0))))))</f>
        <v>1000</v>
      </c>
      <c r="K47" s="9">
        <f ca="1">SUM(Main[[#This Row],[Longevity]],Main[[#This Row],[Yearly Salary]],Main[[#This Row],[Commission]])</f>
        <v>46117.8</v>
      </c>
      <c r="L47" s="9" t="s">
        <v>35</v>
      </c>
      <c r="M47" s="11">
        <v>32067</v>
      </c>
      <c r="N47" s="12">
        <v>2032872612</v>
      </c>
      <c r="O47" s="13" t="s">
        <v>177</v>
      </c>
      <c r="P47" s="14" t="s">
        <v>178</v>
      </c>
      <c r="Q47" t="s">
        <v>46</v>
      </c>
      <c r="R47" s="16">
        <v>6473</v>
      </c>
      <c r="S47" s="12">
        <v>2038193874</v>
      </c>
      <c r="T47">
        <v>63</v>
      </c>
    </row>
    <row r="48" spans="1:20" x14ac:dyDescent="0.25">
      <c r="A48" s="8">
        <v>47</v>
      </c>
      <c r="B48" t="s">
        <v>179</v>
      </c>
      <c r="C48" t="s">
        <v>13</v>
      </c>
      <c r="D48" s="9">
        <f>IF(Main[[#This Row],[Department]]="Management",40,IF(Main[[#This Row],[Department]]="Sales",22,IF(Main[[#This Row],[Department]]="Human Resources",28,IF(Main[[#This Row],[Department]]="Marketing",26,IF(Main[[#This Row],[Department]]="Custodial",26,"Temp")))))</f>
        <v>22</v>
      </c>
      <c r="E48">
        <v>23</v>
      </c>
      <c r="F48" s="9">
        <f>(Main[[#This Row],[$/Hour]]*Main[[#This Row],[Hours/week]])*52</f>
        <v>26312</v>
      </c>
      <c r="G48" s="10">
        <v>81328</v>
      </c>
      <c r="H48" s="10">
        <f>IF(ISNUMBER(Main[[#This Row],[Sales]]),Main[[#This Row],[Sales]]*0.03,"-")</f>
        <v>2439.8399999999997</v>
      </c>
      <c r="I48">
        <f ca="1">DATEDIF(Main[[#This Row],[Date Hired]],TODAY(),"Y")</f>
        <v>13</v>
      </c>
      <c r="J48" s="9">
        <f ca="1">IF(Main[[#This Row],[Years of Service]]&gt;=30,1000,IF(Main[[#This Row],[Years of Service]]&gt;=25,750,IF(Main[[#This Row],[Years of Service]]&gt;=20,500,IF(Main[[#This Row],[Years of Service]]&gt;=15,300,IF(Main[[#This Row],[Years of Service]]&gt;=10,150,IF(Main[[#This Row],[Years of Service]]&gt;=5,75,0))))))</f>
        <v>150</v>
      </c>
      <c r="K48" s="9">
        <f ca="1">SUM(Main[[#This Row],[Longevity]],Main[[#This Row],[Yearly Salary]],Main[[#This Row],[Commission]])</f>
        <v>28901.84</v>
      </c>
      <c r="L48" s="9" t="s">
        <v>35</v>
      </c>
      <c r="M48" s="11">
        <v>38525</v>
      </c>
      <c r="N48" s="12">
        <v>2032872382</v>
      </c>
      <c r="O48" s="13" t="s">
        <v>180</v>
      </c>
      <c r="P48" s="14" t="s">
        <v>181</v>
      </c>
      <c r="Q48" t="s">
        <v>38</v>
      </c>
      <c r="R48" s="16">
        <v>6495</v>
      </c>
      <c r="S48" s="12">
        <v>2036234952</v>
      </c>
      <c r="T48">
        <v>44</v>
      </c>
    </row>
    <row r="49" spans="1:20" x14ac:dyDescent="0.25">
      <c r="A49" s="8">
        <v>48</v>
      </c>
      <c r="B49" t="s">
        <v>182</v>
      </c>
      <c r="C49" t="s">
        <v>13</v>
      </c>
      <c r="D49" s="9">
        <f>IF(Main[[#This Row],[Department]]="Management",40,IF(Main[[#This Row],[Department]]="Sales",22,IF(Main[[#This Row],[Department]]="Human Resources",28,IF(Main[[#This Row],[Department]]="Marketing",26,IF(Main[[#This Row],[Department]]="Custodial",26,"Temp")))))</f>
        <v>22</v>
      </c>
      <c r="E49">
        <v>23</v>
      </c>
      <c r="F49" s="9">
        <f>(Main[[#This Row],[$/Hour]]*Main[[#This Row],[Hours/week]])*52</f>
        <v>26312</v>
      </c>
      <c r="G49" s="10">
        <v>45448</v>
      </c>
      <c r="H49" s="10">
        <f>IF(ISNUMBER(Main[[#This Row],[Sales]]),Main[[#This Row],[Sales]]*0.03,"-")</f>
        <v>1363.44</v>
      </c>
      <c r="I49">
        <f ca="1">DATEDIF(Main[[#This Row],[Date Hired]],TODAY(),"Y")</f>
        <v>27</v>
      </c>
      <c r="J49" s="9">
        <f ca="1">IF(Main[[#This Row],[Years of Service]]&gt;=30,1000,IF(Main[[#This Row],[Years of Service]]&gt;=25,750,IF(Main[[#This Row],[Years of Service]]&gt;=20,500,IF(Main[[#This Row],[Years of Service]]&gt;=15,300,IF(Main[[#This Row],[Years of Service]]&gt;=10,150,IF(Main[[#This Row],[Years of Service]]&gt;=5,75,0))))))</f>
        <v>750</v>
      </c>
      <c r="K49" s="9">
        <f ca="1">SUM(Main[[#This Row],[Longevity]],Main[[#This Row],[Yearly Salary]],Main[[#This Row],[Commission]])</f>
        <v>28425.439999999999</v>
      </c>
      <c r="L49" s="9" t="s">
        <v>30</v>
      </c>
      <c r="M49" s="11">
        <v>33493</v>
      </c>
      <c r="N49" s="12">
        <v>2032872689</v>
      </c>
      <c r="O49" s="13" t="s">
        <v>183</v>
      </c>
      <c r="P49" s="14" t="s">
        <v>184</v>
      </c>
      <c r="Q49" t="s">
        <v>42</v>
      </c>
      <c r="R49" s="16">
        <v>6518</v>
      </c>
      <c r="S49" s="12">
        <v>2038102684</v>
      </c>
      <c r="T49">
        <v>45</v>
      </c>
    </row>
    <row r="50" spans="1:20" x14ac:dyDescent="0.25">
      <c r="A50" s="8">
        <v>49</v>
      </c>
      <c r="B50" t="s">
        <v>185</v>
      </c>
      <c r="C50" t="s">
        <v>13</v>
      </c>
      <c r="D50" s="9">
        <f>IF(Main[[#This Row],[Department]]="Management",40,IF(Main[[#This Row],[Department]]="Sales",22,IF(Main[[#This Row],[Department]]="Human Resources",28,IF(Main[[#This Row],[Department]]="Marketing",26,IF(Main[[#This Row],[Department]]="Custodial",26,"Temp")))))</f>
        <v>22</v>
      </c>
      <c r="E50">
        <v>23</v>
      </c>
      <c r="F50" s="9">
        <f>(Main[[#This Row],[$/Hour]]*Main[[#This Row],[Hours/week]])*52</f>
        <v>26312</v>
      </c>
      <c r="G50" s="10">
        <v>47840</v>
      </c>
      <c r="H50" s="10">
        <f>IF(ISNUMBER(Main[[#This Row],[Sales]]),Main[[#This Row],[Sales]]*0.03,"-")</f>
        <v>1435.2</v>
      </c>
      <c r="I50">
        <f ca="1">DATEDIF(Main[[#This Row],[Date Hired]],TODAY(),"Y")</f>
        <v>5</v>
      </c>
      <c r="J50" s="9">
        <f ca="1">IF(Main[[#This Row],[Years of Service]]&gt;=30,1000,IF(Main[[#This Row],[Years of Service]]&gt;=25,750,IF(Main[[#This Row],[Years of Service]]&gt;=20,500,IF(Main[[#This Row],[Years of Service]]&gt;=15,300,IF(Main[[#This Row],[Years of Service]]&gt;=10,150,IF(Main[[#This Row],[Years of Service]]&gt;=5,75,0))))))</f>
        <v>75</v>
      </c>
      <c r="K50" s="9">
        <f ca="1">SUM(Main[[#This Row],[Longevity]],Main[[#This Row],[Yearly Salary]],Main[[#This Row],[Commission]])</f>
        <v>27822.2</v>
      </c>
      <c r="L50" s="9" t="s">
        <v>35</v>
      </c>
      <c r="M50" s="11">
        <v>41364</v>
      </c>
      <c r="N50" s="12">
        <v>2032872356</v>
      </c>
      <c r="O50" s="13" t="s">
        <v>186</v>
      </c>
      <c r="P50" s="14" t="s">
        <v>187</v>
      </c>
      <c r="Q50" t="s">
        <v>42</v>
      </c>
      <c r="R50" s="16">
        <v>6517</v>
      </c>
      <c r="S50" s="12">
        <v>2032156388</v>
      </c>
      <c r="T50">
        <v>28</v>
      </c>
    </row>
    <row r="51" spans="1:20" x14ac:dyDescent="0.25">
      <c r="A51" s="8">
        <v>50</v>
      </c>
      <c r="B51" t="s">
        <v>188</v>
      </c>
      <c r="C51" t="s">
        <v>58</v>
      </c>
      <c r="D51" s="9">
        <f>IF(Main[[#This Row],[Department]]="Management",40,IF(Main[[#This Row],[Department]]="Sales",22,IF(Main[[#This Row],[Department]]="Human Resources",28,IF(Main[[#This Row],[Department]]="Marketing",26,IF(Main[[#This Row],[Department]]="Custodial",26,"Temp")))))</f>
        <v>28</v>
      </c>
      <c r="E51">
        <v>23</v>
      </c>
      <c r="F51" s="9">
        <f>(Main[[#This Row],[$/Hour]]*Main[[#This Row],[Hours/week]])*52</f>
        <v>33488</v>
      </c>
      <c r="G51" s="10" t="s">
        <v>29</v>
      </c>
      <c r="H51" s="10" t="str">
        <f>IF(ISNUMBER(Main[[#This Row],[Sales]]),Main[[#This Row],[Sales]]*0.03,"-")</f>
        <v>-</v>
      </c>
      <c r="I51">
        <f ca="1">DATEDIF(Main[[#This Row],[Date Hired]],TODAY(),"Y")</f>
        <v>6</v>
      </c>
      <c r="J51" s="9">
        <f ca="1">IF(Main[[#This Row],[Years of Service]]&gt;=30,1000,IF(Main[[#This Row],[Years of Service]]&gt;=25,750,IF(Main[[#This Row],[Years of Service]]&gt;=20,500,IF(Main[[#This Row],[Years of Service]]&gt;=15,300,IF(Main[[#This Row],[Years of Service]]&gt;=10,150,IF(Main[[#This Row],[Years of Service]]&gt;=5,75,0))))))</f>
        <v>75</v>
      </c>
      <c r="K51" s="9">
        <f ca="1">SUM(Main[[#This Row],[Longevity]],Main[[#This Row],[Yearly Salary]],Main[[#This Row],[Commission]])</f>
        <v>33563</v>
      </c>
      <c r="L51" s="9" t="s">
        <v>35</v>
      </c>
      <c r="M51" s="11">
        <v>41216</v>
      </c>
      <c r="N51" s="12">
        <v>2032872678</v>
      </c>
      <c r="O51" s="13" t="s">
        <v>189</v>
      </c>
      <c r="P51" s="14" t="s">
        <v>190</v>
      </c>
      <c r="Q51" t="s">
        <v>42</v>
      </c>
      <c r="R51" s="16">
        <v>6518</v>
      </c>
      <c r="S51" s="12">
        <v>2035082435</v>
      </c>
      <c r="T51">
        <v>36</v>
      </c>
    </row>
    <row r="52" spans="1:20" x14ac:dyDescent="0.25">
      <c r="A52" s="8">
        <v>51</v>
      </c>
      <c r="B52" t="s">
        <v>191</v>
      </c>
      <c r="C52" t="s">
        <v>78</v>
      </c>
      <c r="D52" s="9">
        <f>IF(Main[[#This Row],[Department]]="Management",40,IF(Main[[#This Row],[Department]]="Sales",22,IF(Main[[#This Row],[Department]]="Human Resources",28,IF(Main[[#This Row],[Department]]="Marketing",26,IF(Main[[#This Row],[Department]]="Custodial",26,"Temp")))))</f>
        <v>26</v>
      </c>
      <c r="E52">
        <v>23</v>
      </c>
      <c r="F52" s="9">
        <f>(Main[[#This Row],[$/Hour]]*Main[[#This Row],[Hours/week]])*52</f>
        <v>31096</v>
      </c>
      <c r="G52" s="10" t="s">
        <v>29</v>
      </c>
      <c r="H52" s="10" t="str">
        <f>IF(ISNUMBER(Main[[#This Row],[Sales]]),Main[[#This Row],[Sales]]*0.03,"-")</f>
        <v>-</v>
      </c>
      <c r="I52">
        <f ca="1">DATEDIF(Main[[#This Row],[Date Hired]],TODAY(),"Y")</f>
        <v>16</v>
      </c>
      <c r="J52" s="9">
        <f ca="1">IF(Main[[#This Row],[Years of Service]]&gt;=30,1000,IF(Main[[#This Row],[Years of Service]]&gt;=25,750,IF(Main[[#This Row],[Years of Service]]&gt;=20,500,IF(Main[[#This Row],[Years of Service]]&gt;=15,300,IF(Main[[#This Row],[Years of Service]]&gt;=10,150,IF(Main[[#This Row],[Years of Service]]&gt;=5,75,0))))))</f>
        <v>300</v>
      </c>
      <c r="K52" s="9">
        <f ca="1">SUM(Main[[#This Row],[Longevity]],Main[[#This Row],[Yearly Salary]],Main[[#This Row],[Commission]])</f>
        <v>31396</v>
      </c>
      <c r="L52" s="9" t="s">
        <v>30</v>
      </c>
      <c r="M52" s="11">
        <v>37569</v>
      </c>
      <c r="N52" s="12">
        <v>2032872623</v>
      </c>
      <c r="O52" s="13" t="s">
        <v>192</v>
      </c>
      <c r="P52" s="14" t="s">
        <v>193</v>
      </c>
      <c r="Q52" t="s">
        <v>38</v>
      </c>
      <c r="R52" s="16">
        <v>6492</v>
      </c>
      <c r="S52" s="12">
        <v>3564259930</v>
      </c>
      <c r="T52">
        <v>48</v>
      </c>
    </row>
    <row r="53" spans="1:20" x14ac:dyDescent="0.25">
      <c r="A53" s="8">
        <v>52</v>
      </c>
      <c r="B53" t="s">
        <v>194</v>
      </c>
      <c r="C53" t="s">
        <v>13</v>
      </c>
      <c r="D53" s="9">
        <f>IF(Main[[#This Row],[Department]]="Management",40,IF(Main[[#This Row],[Department]]="Sales",22,IF(Main[[#This Row],[Department]]="Human Resources",28,IF(Main[[#This Row],[Department]]="Marketing",26,IF(Main[[#This Row],[Department]]="Custodial",26,"Temp")))))</f>
        <v>22</v>
      </c>
      <c r="E53">
        <v>19.5</v>
      </c>
      <c r="F53" s="9">
        <f>(Main[[#This Row],[$/Hour]]*Main[[#This Row],[Hours/week]])*52</f>
        <v>22308</v>
      </c>
      <c r="G53" s="10">
        <v>48672</v>
      </c>
      <c r="H53" s="10">
        <f>IF(ISNUMBER(Main[[#This Row],[Sales]]),Main[[#This Row],[Sales]]*0.03,"-")</f>
        <v>1460.1599999999999</v>
      </c>
      <c r="I53">
        <f ca="1">DATEDIF(Main[[#This Row],[Date Hired]],TODAY(),"Y")</f>
        <v>23</v>
      </c>
      <c r="J53" s="9">
        <f ca="1">IF(Main[[#This Row],[Years of Service]]&gt;=30,1000,IF(Main[[#This Row],[Years of Service]]&gt;=25,750,IF(Main[[#This Row],[Years of Service]]&gt;=20,500,IF(Main[[#This Row],[Years of Service]]&gt;=15,300,IF(Main[[#This Row],[Years of Service]]&gt;=10,150,IF(Main[[#This Row],[Years of Service]]&gt;=5,75,0))))))</f>
        <v>500</v>
      </c>
      <c r="K53" s="9">
        <f ca="1">SUM(Main[[#This Row],[Longevity]],Main[[#This Row],[Yearly Salary]],Main[[#This Row],[Commission]])</f>
        <v>24268.16</v>
      </c>
      <c r="L53" s="9" t="s">
        <v>35</v>
      </c>
      <c r="M53" s="11">
        <v>34853</v>
      </c>
      <c r="N53" s="12">
        <v>2032872614</v>
      </c>
      <c r="O53" s="13" t="s">
        <v>195</v>
      </c>
      <c r="P53" s="14" t="s">
        <v>196</v>
      </c>
      <c r="Q53" t="s">
        <v>42</v>
      </c>
      <c r="R53" s="16">
        <v>6518</v>
      </c>
      <c r="S53" s="12">
        <v>2032658119</v>
      </c>
      <c r="T53">
        <v>49</v>
      </c>
    </row>
    <row r="54" spans="1:20" x14ac:dyDescent="0.25">
      <c r="A54" s="8">
        <v>53</v>
      </c>
      <c r="B54" t="s">
        <v>197</v>
      </c>
      <c r="C54" t="s">
        <v>78</v>
      </c>
      <c r="D54" s="9">
        <f>IF(Main[[#This Row],[Department]]="Management",40,IF(Main[[#This Row],[Department]]="Sales",22,IF(Main[[#This Row],[Department]]="Human Resources",28,IF(Main[[#This Row],[Department]]="Marketing",26,IF(Main[[#This Row],[Department]]="Custodial",26,"Temp")))))</f>
        <v>26</v>
      </c>
      <c r="E54">
        <v>35</v>
      </c>
      <c r="F54" s="9">
        <f>(Main[[#This Row],[$/Hour]]*Main[[#This Row],[Hours/week]])*52</f>
        <v>47320</v>
      </c>
      <c r="G54" s="10" t="s">
        <v>29</v>
      </c>
      <c r="H54" s="10" t="str">
        <f>IF(ISNUMBER(Main[[#This Row],[Sales]]),Main[[#This Row],[Sales]]*0.03,"-")</f>
        <v>-</v>
      </c>
      <c r="I54">
        <f ca="1">DATEDIF(Main[[#This Row],[Date Hired]],TODAY(),"Y")</f>
        <v>33</v>
      </c>
      <c r="J54" s="9">
        <f ca="1">IF(Main[[#This Row],[Years of Service]]&gt;=30,1000,IF(Main[[#This Row],[Years of Service]]&gt;=25,750,IF(Main[[#This Row],[Years of Service]]&gt;=20,500,IF(Main[[#This Row],[Years of Service]]&gt;=15,300,IF(Main[[#This Row],[Years of Service]]&gt;=10,150,IF(Main[[#This Row],[Years of Service]]&gt;=5,75,0))))))</f>
        <v>1000</v>
      </c>
      <c r="K54" s="9">
        <f ca="1">SUM(Main[[#This Row],[Longevity]],Main[[#This Row],[Yearly Salary]],Main[[#This Row],[Commission]])</f>
        <v>48320</v>
      </c>
      <c r="L54" s="9" t="s">
        <v>35</v>
      </c>
      <c r="M54" s="11">
        <v>31284</v>
      </c>
      <c r="N54" s="12">
        <v>2032872378</v>
      </c>
      <c r="O54" s="13" t="s">
        <v>198</v>
      </c>
      <c r="P54" s="14" t="s">
        <v>199</v>
      </c>
      <c r="Q54" t="s">
        <v>33</v>
      </c>
      <c r="R54" s="16">
        <v>6473</v>
      </c>
      <c r="S54" s="12">
        <v>2036122141</v>
      </c>
      <c r="T54">
        <v>65</v>
      </c>
    </row>
    <row r="55" spans="1:20" x14ac:dyDescent="0.25">
      <c r="A55" s="8">
        <v>54</v>
      </c>
      <c r="B55" t="s">
        <v>200</v>
      </c>
      <c r="C55" t="s">
        <v>62</v>
      </c>
      <c r="D55" s="9">
        <f>IF(Main[[#This Row],[Department]]="Management",40,IF(Main[[#This Row],[Department]]="Sales",22,IF(Main[[#This Row],[Department]]="Human Resources",28,IF(Main[[#This Row],[Department]]="Marketing",26,IF(Main[[#This Row],[Department]]="Custodial",26,"Temp")))))</f>
        <v>26</v>
      </c>
      <c r="E55">
        <v>15</v>
      </c>
      <c r="F55" s="9">
        <f>(Main[[#This Row],[$/Hour]]*Main[[#This Row],[Hours/week]])*52</f>
        <v>20280</v>
      </c>
      <c r="G55" s="10" t="s">
        <v>29</v>
      </c>
      <c r="H55" s="10" t="str">
        <f>IF(ISNUMBER(Main[[#This Row],[Sales]]),Main[[#This Row],[Sales]]*0.03,"-")</f>
        <v>-</v>
      </c>
      <c r="I55">
        <f ca="1">DATEDIF(Main[[#This Row],[Date Hired]],TODAY(),"Y")</f>
        <v>6</v>
      </c>
      <c r="J55" s="9">
        <f ca="1">IF(Main[[#This Row],[Years of Service]]&gt;=30,1000,IF(Main[[#This Row],[Years of Service]]&gt;=25,750,IF(Main[[#This Row],[Years of Service]]&gt;=20,500,IF(Main[[#This Row],[Years of Service]]&gt;=15,300,IF(Main[[#This Row],[Years of Service]]&gt;=10,150,IF(Main[[#This Row],[Years of Service]]&gt;=5,75,0))))))</f>
        <v>75</v>
      </c>
      <c r="K55" s="9">
        <f ca="1">SUM(Main[[#This Row],[Longevity]],Main[[#This Row],[Yearly Salary]],Main[[#This Row],[Commission]])</f>
        <v>20355</v>
      </c>
      <c r="L55" s="9" t="s">
        <v>35</v>
      </c>
      <c r="M55" s="11">
        <v>41158</v>
      </c>
      <c r="N55" s="12">
        <v>2032872387</v>
      </c>
      <c r="O55" s="13" t="s">
        <v>201</v>
      </c>
      <c r="P55" s="14" t="s">
        <v>202</v>
      </c>
      <c r="Q55" t="s">
        <v>46</v>
      </c>
      <c r="R55" s="16">
        <v>6512</v>
      </c>
      <c r="S55" s="12">
        <v>3737034651</v>
      </c>
      <c r="T55">
        <v>28</v>
      </c>
    </row>
    <row r="56" spans="1:20" x14ac:dyDescent="0.25">
      <c r="A56" s="8">
        <v>55</v>
      </c>
      <c r="B56" t="s">
        <v>203</v>
      </c>
      <c r="C56" t="s">
        <v>13</v>
      </c>
      <c r="D56" s="9">
        <f>IF(Main[[#This Row],[Department]]="Management",40,IF(Main[[#This Row],[Department]]="Sales",22,IF(Main[[#This Row],[Department]]="Human Resources",28,IF(Main[[#This Row],[Department]]="Marketing",26,IF(Main[[#This Row],[Department]]="Custodial",26,"Temp")))))</f>
        <v>22</v>
      </c>
      <c r="E56">
        <v>37.5</v>
      </c>
      <c r="F56" s="9">
        <f>(Main[[#This Row],[$/Hour]]*Main[[#This Row],[Hours/week]])*52</f>
        <v>42900</v>
      </c>
      <c r="G56" s="10">
        <v>124800</v>
      </c>
      <c r="H56" s="10">
        <f>IF(ISNUMBER(Main[[#This Row],[Sales]]),Main[[#This Row],[Sales]]*0.03,"-")</f>
        <v>3744</v>
      </c>
      <c r="I56">
        <f ca="1">DATEDIF(Main[[#This Row],[Date Hired]],TODAY(),"Y")</f>
        <v>27</v>
      </c>
      <c r="J56" s="9">
        <f ca="1">IF(Main[[#This Row],[Years of Service]]&gt;=30,1000,IF(Main[[#This Row],[Years of Service]]&gt;=25,750,IF(Main[[#This Row],[Years of Service]]&gt;=20,500,IF(Main[[#This Row],[Years of Service]]&gt;=15,300,IF(Main[[#This Row],[Years of Service]]&gt;=10,150,IF(Main[[#This Row],[Years of Service]]&gt;=5,75,0))))))</f>
        <v>750</v>
      </c>
      <c r="K56" s="9">
        <f ca="1">SUM(Main[[#This Row],[Longevity]],Main[[#This Row],[Yearly Salary]],Main[[#This Row],[Commission]])</f>
        <v>47394</v>
      </c>
      <c r="L56" s="9" t="s">
        <v>30</v>
      </c>
      <c r="M56" s="11">
        <v>33565</v>
      </c>
      <c r="N56" s="12">
        <v>2032872354</v>
      </c>
      <c r="O56" s="13" t="s">
        <v>204</v>
      </c>
      <c r="P56" s="14" t="s">
        <v>205</v>
      </c>
      <c r="Q56" t="s">
        <v>42</v>
      </c>
      <c r="R56" s="16">
        <v>6518</v>
      </c>
      <c r="S56" s="12">
        <v>2035529234</v>
      </c>
      <c r="T56">
        <v>64</v>
      </c>
    </row>
    <row r="57" spans="1:20" x14ac:dyDescent="0.25">
      <c r="A57" s="8">
        <v>56</v>
      </c>
      <c r="B57" t="s">
        <v>206</v>
      </c>
      <c r="C57" t="s">
        <v>13</v>
      </c>
      <c r="D57" s="9">
        <f>IF(Main[[#This Row],[Department]]="Management",40,IF(Main[[#This Row],[Department]]="Sales",22,IF(Main[[#This Row],[Department]]="Human Resources",28,IF(Main[[#This Row],[Department]]="Marketing",26,IF(Main[[#This Row],[Department]]="Custodial",26,"Temp")))))</f>
        <v>22</v>
      </c>
      <c r="E57">
        <v>15</v>
      </c>
      <c r="F57" s="9">
        <f>(Main[[#This Row],[$/Hour]]*Main[[#This Row],[Hours/week]])*52</f>
        <v>17160</v>
      </c>
      <c r="G57" s="10">
        <v>47580</v>
      </c>
      <c r="H57" s="10">
        <f>IF(ISNUMBER(Main[[#This Row],[Sales]]),Main[[#This Row],[Sales]]*0.03,"-")</f>
        <v>1427.3999999999999</v>
      </c>
      <c r="I57">
        <f ca="1">DATEDIF(Main[[#This Row],[Date Hired]],TODAY(),"Y")</f>
        <v>30</v>
      </c>
      <c r="J57" s="9">
        <f ca="1">IF(Main[[#This Row],[Years of Service]]&gt;=30,1000,IF(Main[[#This Row],[Years of Service]]&gt;=25,750,IF(Main[[#This Row],[Years of Service]]&gt;=20,500,IF(Main[[#This Row],[Years of Service]]&gt;=15,300,IF(Main[[#This Row],[Years of Service]]&gt;=10,150,IF(Main[[#This Row],[Years of Service]]&gt;=5,75,0))))))</f>
        <v>1000</v>
      </c>
      <c r="K57" s="9">
        <f ca="1">SUM(Main[[#This Row],[Longevity]],Main[[#This Row],[Yearly Salary]],Main[[#This Row],[Commission]])</f>
        <v>19587.400000000001</v>
      </c>
      <c r="L57" s="9" t="s">
        <v>35</v>
      </c>
      <c r="M57" s="11">
        <v>32501</v>
      </c>
      <c r="N57" s="12">
        <v>2032872351</v>
      </c>
      <c r="O57" s="13" t="s">
        <v>207</v>
      </c>
      <c r="P57" s="14" t="s">
        <v>208</v>
      </c>
      <c r="Q57" t="s">
        <v>38</v>
      </c>
      <c r="R57" s="16">
        <v>6494</v>
      </c>
      <c r="S57" s="12">
        <v>2033968328</v>
      </c>
      <c r="T57">
        <v>60</v>
      </c>
    </row>
    <row r="58" spans="1:20" x14ac:dyDescent="0.25">
      <c r="A58" s="8">
        <v>57</v>
      </c>
      <c r="B58" t="s">
        <v>209</v>
      </c>
      <c r="C58" t="s">
        <v>58</v>
      </c>
      <c r="D58" s="9">
        <f>IF(Main[[#This Row],[Department]]="Management",40,IF(Main[[#This Row],[Department]]="Sales",22,IF(Main[[#This Row],[Department]]="Human Resources",28,IF(Main[[#This Row],[Department]]="Marketing",26,IF(Main[[#This Row],[Department]]="Custodial",26,"Temp")))))</f>
        <v>28</v>
      </c>
      <c r="E58">
        <v>37.5</v>
      </c>
      <c r="F58" s="9">
        <f>(Main[[#This Row],[$/Hour]]*Main[[#This Row],[Hours/week]])*52</f>
        <v>54600</v>
      </c>
      <c r="G58" s="10" t="s">
        <v>29</v>
      </c>
      <c r="H58" s="10" t="str">
        <f>IF(ISNUMBER(Main[[#This Row],[Sales]]),Main[[#This Row],[Sales]]*0.03,"-")</f>
        <v>-</v>
      </c>
      <c r="I58">
        <f ca="1">DATEDIF(Main[[#This Row],[Date Hired]],TODAY(),"Y")</f>
        <v>25</v>
      </c>
      <c r="J58" s="9">
        <f ca="1">IF(Main[[#This Row],[Years of Service]]&gt;=30,1000,IF(Main[[#This Row],[Years of Service]]&gt;=25,750,IF(Main[[#This Row],[Years of Service]]&gt;=20,500,IF(Main[[#This Row],[Years of Service]]&gt;=15,300,IF(Main[[#This Row],[Years of Service]]&gt;=10,150,IF(Main[[#This Row],[Years of Service]]&gt;=5,75,0))))))</f>
        <v>750</v>
      </c>
      <c r="K58" s="9">
        <f ca="1">SUM(Main[[#This Row],[Longevity]],Main[[#This Row],[Yearly Salary]],Main[[#This Row],[Commission]])</f>
        <v>55350</v>
      </c>
      <c r="L58" s="9" t="s">
        <v>30</v>
      </c>
      <c r="M58" s="11">
        <v>34255</v>
      </c>
      <c r="N58" s="12">
        <v>2032872690</v>
      </c>
      <c r="O58" s="13" t="s">
        <v>210</v>
      </c>
      <c r="P58" s="14" t="s">
        <v>211</v>
      </c>
      <c r="Q58" t="s">
        <v>81</v>
      </c>
      <c r="R58" s="16">
        <v>6538</v>
      </c>
      <c r="S58" s="12">
        <v>2034843867</v>
      </c>
      <c r="T58">
        <v>45</v>
      </c>
    </row>
    <row r="59" spans="1:20" x14ac:dyDescent="0.25">
      <c r="A59" s="8">
        <v>58</v>
      </c>
      <c r="B59" t="s">
        <v>212</v>
      </c>
      <c r="C59" t="s">
        <v>13</v>
      </c>
      <c r="D59" s="9">
        <f>IF(Main[[#This Row],[Department]]="Management",40,IF(Main[[#This Row],[Department]]="Sales",22,IF(Main[[#This Row],[Department]]="Human Resources",28,IF(Main[[#This Row],[Department]]="Marketing",26,IF(Main[[#This Row],[Department]]="Custodial",26,"Temp")))))</f>
        <v>22</v>
      </c>
      <c r="E59">
        <v>37.5</v>
      </c>
      <c r="F59" s="9">
        <f>(Main[[#This Row],[$/Hour]]*Main[[#This Row],[Hours/week]])*52</f>
        <v>42900</v>
      </c>
      <c r="G59" s="10">
        <v>95550</v>
      </c>
      <c r="H59" s="10">
        <f>IF(ISNUMBER(Main[[#This Row],[Sales]]),Main[[#This Row],[Sales]]*0.03,"-")</f>
        <v>2866.5</v>
      </c>
      <c r="I59">
        <f ca="1">DATEDIF(Main[[#This Row],[Date Hired]],TODAY(),"Y")</f>
        <v>6</v>
      </c>
      <c r="J59" s="9">
        <f ca="1">IF(Main[[#This Row],[Years of Service]]&gt;=30,1000,IF(Main[[#This Row],[Years of Service]]&gt;=25,750,IF(Main[[#This Row],[Years of Service]]&gt;=20,500,IF(Main[[#This Row],[Years of Service]]&gt;=15,300,IF(Main[[#This Row],[Years of Service]]&gt;=10,150,IF(Main[[#This Row],[Years of Service]]&gt;=5,75,0))))))</f>
        <v>75</v>
      </c>
      <c r="K59" s="9">
        <f ca="1">SUM(Main[[#This Row],[Longevity]],Main[[#This Row],[Yearly Salary]],Main[[#This Row],[Commission]])</f>
        <v>45841.5</v>
      </c>
      <c r="L59" s="9" t="s">
        <v>35</v>
      </c>
      <c r="M59" s="11">
        <v>41360</v>
      </c>
      <c r="N59" s="12">
        <v>2032872652</v>
      </c>
      <c r="O59" s="13" t="s">
        <v>213</v>
      </c>
      <c r="P59" s="14" t="s">
        <v>214</v>
      </c>
      <c r="Q59" t="s">
        <v>33</v>
      </c>
      <c r="R59" s="16">
        <v>6473</v>
      </c>
      <c r="S59" s="12">
        <v>2038158132</v>
      </c>
      <c r="T59">
        <v>38</v>
      </c>
    </row>
    <row r="60" spans="1:20" x14ac:dyDescent="0.25">
      <c r="A60" s="8">
        <v>59</v>
      </c>
      <c r="B60" t="s">
        <v>215</v>
      </c>
      <c r="C60" t="s">
        <v>13</v>
      </c>
      <c r="D60" s="9">
        <f>IF(Main[[#This Row],[Department]]="Management",40,IF(Main[[#This Row],[Department]]="Sales",22,IF(Main[[#This Row],[Department]]="Human Resources",28,IF(Main[[#This Row],[Department]]="Marketing",26,IF(Main[[#This Row],[Department]]="Custodial",26,"Temp")))))</f>
        <v>22</v>
      </c>
      <c r="E60">
        <v>19.5</v>
      </c>
      <c r="F60" s="9">
        <f>(Main[[#This Row],[$/Hour]]*Main[[#This Row],[Hours/week]])*52</f>
        <v>22308</v>
      </c>
      <c r="G60" s="10">
        <v>70980</v>
      </c>
      <c r="H60" s="10">
        <f>IF(ISNUMBER(Main[[#This Row],[Sales]]),Main[[#This Row],[Sales]]*0.03,"-")</f>
        <v>2129.4</v>
      </c>
      <c r="I60">
        <f ca="1">DATEDIF(Main[[#This Row],[Date Hired]],TODAY(),"Y")</f>
        <v>29</v>
      </c>
      <c r="J60" s="9">
        <f ca="1">IF(Main[[#This Row],[Years of Service]]&gt;=30,1000,IF(Main[[#This Row],[Years of Service]]&gt;=25,750,IF(Main[[#This Row],[Years of Service]]&gt;=20,500,IF(Main[[#This Row],[Years of Service]]&gt;=15,300,IF(Main[[#This Row],[Years of Service]]&gt;=10,150,IF(Main[[#This Row],[Years of Service]]&gt;=5,75,0))))))</f>
        <v>750</v>
      </c>
      <c r="K60" s="9">
        <f ca="1">SUM(Main[[#This Row],[Longevity]],Main[[#This Row],[Yearly Salary]],Main[[#This Row],[Commission]])</f>
        <v>25187.4</v>
      </c>
      <c r="L60" s="9" t="s">
        <v>35</v>
      </c>
      <c r="M60" s="11">
        <v>32813</v>
      </c>
      <c r="N60" s="12">
        <v>2032872643</v>
      </c>
      <c r="O60" s="13" t="s">
        <v>216</v>
      </c>
      <c r="P60" s="14" t="s">
        <v>217</v>
      </c>
      <c r="Q60" t="s">
        <v>38</v>
      </c>
      <c r="R60" s="16">
        <v>6495</v>
      </c>
      <c r="S60" s="12">
        <v>2032439162</v>
      </c>
      <c r="T60">
        <v>58</v>
      </c>
    </row>
    <row r="61" spans="1:20" x14ac:dyDescent="0.25">
      <c r="A61" s="8">
        <v>60</v>
      </c>
      <c r="B61" t="s">
        <v>218</v>
      </c>
      <c r="C61" t="s">
        <v>62</v>
      </c>
      <c r="D61" s="9">
        <f>IF(Main[[#This Row],[Department]]="Management",40,IF(Main[[#This Row],[Department]]="Sales",22,IF(Main[[#This Row],[Department]]="Human Resources",28,IF(Main[[#This Row],[Department]]="Marketing",26,IF(Main[[#This Row],[Department]]="Custodial",26,"Temp")))))</f>
        <v>26</v>
      </c>
      <c r="E61">
        <v>35</v>
      </c>
      <c r="F61" s="9">
        <f>(Main[[#This Row],[$/Hour]]*Main[[#This Row],[Hours/week]])*52</f>
        <v>47320</v>
      </c>
      <c r="G61" s="10" t="s">
        <v>29</v>
      </c>
      <c r="H61" s="10" t="str">
        <f>IF(ISNUMBER(Main[[#This Row],[Sales]]),Main[[#This Row],[Sales]]*0.03,"-")</f>
        <v>-</v>
      </c>
      <c r="I61">
        <f ca="1">DATEDIF(Main[[#This Row],[Date Hired]],TODAY(),"Y")</f>
        <v>27</v>
      </c>
      <c r="J61" s="9">
        <f ca="1">IF(Main[[#This Row],[Years of Service]]&gt;=30,1000,IF(Main[[#This Row],[Years of Service]]&gt;=25,750,IF(Main[[#This Row],[Years of Service]]&gt;=20,500,IF(Main[[#This Row],[Years of Service]]&gt;=15,300,IF(Main[[#This Row],[Years of Service]]&gt;=10,150,IF(Main[[#This Row],[Years of Service]]&gt;=5,75,0))))))</f>
        <v>750</v>
      </c>
      <c r="K61" s="9">
        <f ca="1">SUM(Main[[#This Row],[Longevity]],Main[[#This Row],[Yearly Salary]],Main[[#This Row],[Commission]])</f>
        <v>48070</v>
      </c>
      <c r="L61" s="9" t="s">
        <v>30</v>
      </c>
      <c r="M61" s="11">
        <v>33589</v>
      </c>
      <c r="N61" s="12">
        <v>2032872622</v>
      </c>
      <c r="O61" s="13" t="s">
        <v>219</v>
      </c>
      <c r="P61" s="14" t="s">
        <v>220</v>
      </c>
      <c r="Q61" t="s">
        <v>42</v>
      </c>
      <c r="R61" s="16">
        <v>6517</v>
      </c>
      <c r="S61" s="12">
        <v>2034448956</v>
      </c>
      <c r="T61">
        <v>63</v>
      </c>
    </row>
    <row r="62" spans="1:20" x14ac:dyDescent="0.25">
      <c r="A62" s="8">
        <v>61</v>
      </c>
      <c r="B62" t="s">
        <v>221</v>
      </c>
      <c r="C62" t="s">
        <v>78</v>
      </c>
      <c r="D62" s="9">
        <f>IF(Main[[#This Row],[Department]]="Management",40,IF(Main[[#This Row],[Department]]="Sales",22,IF(Main[[#This Row],[Department]]="Human Resources",28,IF(Main[[#This Row],[Department]]="Marketing",26,IF(Main[[#This Row],[Department]]="Custodial",26,"Temp")))))</f>
        <v>26</v>
      </c>
      <c r="E62">
        <v>37.5</v>
      </c>
      <c r="F62" s="9">
        <f>(Main[[#This Row],[$/Hour]]*Main[[#This Row],[Hours/week]])*52</f>
        <v>50700</v>
      </c>
      <c r="G62" s="10" t="s">
        <v>29</v>
      </c>
      <c r="H62" s="10" t="str">
        <f>IF(ISNUMBER(Main[[#This Row],[Sales]]),Main[[#This Row],[Sales]]*0.03,"-")</f>
        <v>-</v>
      </c>
      <c r="I62">
        <f ca="1">DATEDIF(Main[[#This Row],[Date Hired]],TODAY(),"Y")</f>
        <v>23</v>
      </c>
      <c r="J62" s="9">
        <f ca="1">IF(Main[[#This Row],[Years of Service]]&gt;=30,1000,IF(Main[[#This Row],[Years of Service]]&gt;=25,750,IF(Main[[#This Row],[Years of Service]]&gt;=20,500,IF(Main[[#This Row],[Years of Service]]&gt;=15,300,IF(Main[[#This Row],[Years of Service]]&gt;=10,150,IF(Main[[#This Row],[Years of Service]]&gt;=5,75,0))))))</f>
        <v>500</v>
      </c>
      <c r="K62" s="9">
        <f ca="1">SUM(Main[[#This Row],[Longevity]],Main[[#This Row],[Yearly Salary]],Main[[#This Row],[Commission]])</f>
        <v>51200</v>
      </c>
      <c r="L62" s="9" t="s">
        <v>35</v>
      </c>
      <c r="M62" s="11">
        <v>34828</v>
      </c>
      <c r="N62" s="12">
        <v>2032872397</v>
      </c>
      <c r="O62" s="13" t="s">
        <v>222</v>
      </c>
      <c r="P62" s="14" t="s">
        <v>223</v>
      </c>
      <c r="Q62" t="s">
        <v>33</v>
      </c>
      <c r="R62" s="16">
        <v>6473</v>
      </c>
      <c r="S62" s="12">
        <v>2038578776</v>
      </c>
      <c r="T62">
        <v>48</v>
      </c>
    </row>
    <row r="63" spans="1:20" x14ac:dyDescent="0.25">
      <c r="A63" s="8">
        <v>62</v>
      </c>
      <c r="B63" t="s">
        <v>224</v>
      </c>
      <c r="C63" t="s">
        <v>13</v>
      </c>
      <c r="D63" s="9">
        <f>IF(Main[[#This Row],[Department]]="Management",40,IF(Main[[#This Row],[Department]]="Sales",22,IF(Main[[#This Row],[Department]]="Human Resources",28,IF(Main[[#This Row],[Department]]="Marketing",26,IF(Main[[#This Row],[Department]]="Custodial",26,"Temp")))))</f>
        <v>22</v>
      </c>
      <c r="E63">
        <v>35</v>
      </c>
      <c r="F63" s="9">
        <f>(Main[[#This Row],[$/Hour]]*Main[[#This Row],[Hours/week]])*52</f>
        <v>40040</v>
      </c>
      <c r="G63" s="10">
        <v>152880</v>
      </c>
      <c r="H63" s="10">
        <f>IF(ISNUMBER(Main[[#This Row],[Sales]]),Main[[#This Row],[Sales]]*0.03,"-")</f>
        <v>4586.3999999999996</v>
      </c>
      <c r="I63">
        <f ca="1">DATEDIF(Main[[#This Row],[Date Hired]],TODAY(),"Y")</f>
        <v>16</v>
      </c>
      <c r="J63" s="9">
        <f ca="1">IF(Main[[#This Row],[Years of Service]]&gt;=30,1000,IF(Main[[#This Row],[Years of Service]]&gt;=25,750,IF(Main[[#This Row],[Years of Service]]&gt;=20,500,IF(Main[[#This Row],[Years of Service]]&gt;=15,300,IF(Main[[#This Row],[Years of Service]]&gt;=10,150,IF(Main[[#This Row],[Years of Service]]&gt;=5,75,0))))))</f>
        <v>300</v>
      </c>
      <c r="K63" s="9">
        <f ca="1">SUM(Main[[#This Row],[Longevity]],Main[[#This Row],[Yearly Salary]],Main[[#This Row],[Commission]])</f>
        <v>44926.400000000001</v>
      </c>
      <c r="L63" s="9" t="s">
        <v>35</v>
      </c>
      <c r="M63" s="11">
        <v>37524</v>
      </c>
      <c r="N63" s="12">
        <v>2032872642</v>
      </c>
      <c r="O63" s="13" t="s">
        <v>225</v>
      </c>
      <c r="P63" s="14" t="s">
        <v>226</v>
      </c>
      <c r="Q63" t="s">
        <v>50</v>
      </c>
      <c r="R63" s="16">
        <v>6410</v>
      </c>
      <c r="S63" s="12">
        <v>3944376291</v>
      </c>
      <c r="T63">
        <v>35</v>
      </c>
    </row>
    <row r="64" spans="1:20" x14ac:dyDescent="0.25">
      <c r="A64" s="8">
        <v>63</v>
      </c>
      <c r="B64" t="s">
        <v>227</v>
      </c>
      <c r="C64" t="s">
        <v>13</v>
      </c>
      <c r="D64" s="9">
        <f>IF(Main[[#This Row],[Department]]="Management",40,IF(Main[[#This Row],[Department]]="Sales",22,IF(Main[[#This Row],[Department]]="Human Resources",28,IF(Main[[#This Row],[Department]]="Marketing",26,IF(Main[[#This Row],[Department]]="Custodial",26,"Temp")))))</f>
        <v>22</v>
      </c>
      <c r="E64">
        <v>19.5</v>
      </c>
      <c r="F64" s="9">
        <f>(Main[[#This Row],[$/Hour]]*Main[[#This Row],[Hours/week]])*52</f>
        <v>22308</v>
      </c>
      <c r="G64" s="10">
        <v>40560</v>
      </c>
      <c r="H64" s="10">
        <f>IF(ISNUMBER(Main[[#This Row],[Sales]]),Main[[#This Row],[Sales]]*0.03,"-")</f>
        <v>1216.8</v>
      </c>
      <c r="I64">
        <f ca="1">DATEDIF(Main[[#This Row],[Date Hired]],TODAY(),"Y")</f>
        <v>10</v>
      </c>
      <c r="J64" s="9">
        <f ca="1">IF(Main[[#This Row],[Years of Service]]&gt;=30,1000,IF(Main[[#This Row],[Years of Service]]&gt;=25,750,IF(Main[[#This Row],[Years of Service]]&gt;=20,500,IF(Main[[#This Row],[Years of Service]]&gt;=15,300,IF(Main[[#This Row],[Years of Service]]&gt;=10,150,IF(Main[[#This Row],[Years of Service]]&gt;=5,75,0))))))</f>
        <v>150</v>
      </c>
      <c r="K64" s="9">
        <f ca="1">SUM(Main[[#This Row],[Longevity]],Main[[#This Row],[Yearly Salary]],Main[[#This Row],[Commission]])</f>
        <v>23674.799999999999</v>
      </c>
      <c r="L64" s="9" t="s">
        <v>35</v>
      </c>
      <c r="M64" s="11">
        <v>39836</v>
      </c>
      <c r="N64" s="12">
        <v>2032872339</v>
      </c>
      <c r="O64" s="13" t="s">
        <v>228</v>
      </c>
      <c r="P64" s="14" t="s">
        <v>229</v>
      </c>
      <c r="Q64" t="s">
        <v>50</v>
      </c>
      <c r="R64" s="16">
        <v>6410</v>
      </c>
      <c r="S64" s="12">
        <v>2031154141</v>
      </c>
      <c r="T64">
        <v>43</v>
      </c>
    </row>
    <row r="65" spans="1:20" x14ac:dyDescent="0.25">
      <c r="A65" s="8">
        <v>64</v>
      </c>
      <c r="B65" t="s">
        <v>230</v>
      </c>
      <c r="C65" t="s">
        <v>62</v>
      </c>
      <c r="D65" s="9">
        <f>IF(Main[[#This Row],[Department]]="Management",40,IF(Main[[#This Row],[Department]]="Sales",22,IF(Main[[#This Row],[Department]]="Human Resources",28,IF(Main[[#This Row],[Department]]="Marketing",26,IF(Main[[#This Row],[Department]]="Custodial",26,"Temp")))))</f>
        <v>26</v>
      </c>
      <c r="E65">
        <v>19.5</v>
      </c>
      <c r="F65" s="9">
        <f>(Main[[#This Row],[$/Hour]]*Main[[#This Row],[Hours/week]])*52</f>
        <v>26364</v>
      </c>
      <c r="G65" s="10" t="s">
        <v>29</v>
      </c>
      <c r="H65" s="10" t="str">
        <f>IF(ISNUMBER(Main[[#This Row],[Sales]]),Main[[#This Row],[Sales]]*0.03,"-")</f>
        <v>-</v>
      </c>
      <c r="I65">
        <f ca="1">DATEDIF(Main[[#This Row],[Date Hired]],TODAY(),"Y")</f>
        <v>12</v>
      </c>
      <c r="J65" s="9">
        <f ca="1">IF(Main[[#This Row],[Years of Service]]&gt;=30,1000,IF(Main[[#This Row],[Years of Service]]&gt;=25,750,IF(Main[[#This Row],[Years of Service]]&gt;=20,500,IF(Main[[#This Row],[Years of Service]]&gt;=15,300,IF(Main[[#This Row],[Years of Service]]&gt;=10,150,IF(Main[[#This Row],[Years of Service]]&gt;=5,75,0))))))</f>
        <v>150</v>
      </c>
      <c r="K65" s="9">
        <f ca="1">SUM(Main[[#This Row],[Longevity]],Main[[#This Row],[Yearly Salary]],Main[[#This Row],[Commission]])</f>
        <v>26514</v>
      </c>
      <c r="L65" s="9" t="s">
        <v>30</v>
      </c>
      <c r="M65" s="11">
        <v>38892</v>
      </c>
      <c r="N65" s="12">
        <v>2032872385</v>
      </c>
      <c r="O65" s="13" t="s">
        <v>231</v>
      </c>
      <c r="P65" s="14" t="s">
        <v>232</v>
      </c>
      <c r="Q65" t="s">
        <v>42</v>
      </c>
      <c r="R65" s="16">
        <v>6517</v>
      </c>
      <c r="S65" s="12">
        <v>2037478395</v>
      </c>
      <c r="T65">
        <v>48</v>
      </c>
    </row>
    <row r="66" spans="1:20" x14ac:dyDescent="0.25">
      <c r="A66" s="8">
        <v>65</v>
      </c>
      <c r="B66" t="s">
        <v>233</v>
      </c>
      <c r="C66" t="s">
        <v>13</v>
      </c>
      <c r="D66" s="9">
        <f>IF(Main[[#This Row],[Department]]="Management",40,IF(Main[[#This Row],[Department]]="Sales",22,IF(Main[[#This Row],[Department]]="Human Resources",28,IF(Main[[#This Row],[Department]]="Marketing",26,IF(Main[[#This Row],[Department]]="Custodial",26,"Temp")))))</f>
        <v>22</v>
      </c>
      <c r="E66">
        <v>37.5</v>
      </c>
      <c r="F66" s="9">
        <f>(Main[[#This Row],[$/Hour]]*Main[[#This Row],[Hours/week]])*52</f>
        <v>42900</v>
      </c>
      <c r="G66" s="10">
        <v>167700</v>
      </c>
      <c r="H66" s="10">
        <f>IF(ISNUMBER(Main[[#This Row],[Sales]]),Main[[#This Row],[Sales]]*0.03,"-")</f>
        <v>5031</v>
      </c>
      <c r="I66">
        <f ca="1">DATEDIF(Main[[#This Row],[Date Hired]],TODAY(),"Y")</f>
        <v>22</v>
      </c>
      <c r="J66" s="9">
        <f ca="1">IF(Main[[#This Row],[Years of Service]]&gt;=30,1000,IF(Main[[#This Row],[Years of Service]]&gt;=25,750,IF(Main[[#This Row],[Years of Service]]&gt;=20,500,IF(Main[[#This Row],[Years of Service]]&gt;=15,300,IF(Main[[#This Row],[Years of Service]]&gt;=10,150,IF(Main[[#This Row],[Years of Service]]&gt;=5,75,0))))))</f>
        <v>500</v>
      </c>
      <c r="K66" s="9">
        <f ca="1">SUM(Main[[#This Row],[Longevity]],Main[[#This Row],[Yearly Salary]],Main[[#This Row],[Commission]])</f>
        <v>48431</v>
      </c>
      <c r="L66" s="9" t="s">
        <v>30</v>
      </c>
      <c r="M66" s="11">
        <v>35245</v>
      </c>
      <c r="N66" s="12">
        <v>2032872319</v>
      </c>
      <c r="O66" s="13" t="s">
        <v>234</v>
      </c>
      <c r="P66" s="14" t="s">
        <v>235</v>
      </c>
      <c r="Q66" t="s">
        <v>50</v>
      </c>
      <c r="R66" s="16">
        <v>6410</v>
      </c>
      <c r="S66" s="12">
        <v>2039823500</v>
      </c>
      <c r="T66">
        <v>55</v>
      </c>
    </row>
    <row r="67" spans="1:20" x14ac:dyDescent="0.25">
      <c r="A67" s="8">
        <v>66</v>
      </c>
      <c r="B67" t="s">
        <v>236</v>
      </c>
      <c r="C67" t="s">
        <v>62</v>
      </c>
      <c r="D67" s="9">
        <f>IF(Main[[#This Row],[Department]]="Management",40,IF(Main[[#This Row],[Department]]="Sales",22,IF(Main[[#This Row],[Department]]="Human Resources",28,IF(Main[[#This Row],[Department]]="Marketing",26,IF(Main[[#This Row],[Department]]="Custodial",26,"Temp")))))</f>
        <v>26</v>
      </c>
      <c r="E67">
        <v>15</v>
      </c>
      <c r="F67" s="9">
        <f>(Main[[#This Row],[$/Hour]]*Main[[#This Row],[Hours/week]])*52</f>
        <v>20280</v>
      </c>
      <c r="G67" s="10" t="s">
        <v>29</v>
      </c>
      <c r="H67" s="10" t="str">
        <f>IF(ISNUMBER(Main[[#This Row],[Sales]]),Main[[#This Row],[Sales]]*0.03,"-")</f>
        <v>-</v>
      </c>
      <c r="I67">
        <f ca="1">DATEDIF(Main[[#This Row],[Date Hired]],TODAY(),"Y")</f>
        <v>4</v>
      </c>
      <c r="J67" s="9">
        <f ca="1">IF(Main[[#This Row],[Years of Service]]&gt;=30,1000,IF(Main[[#This Row],[Years of Service]]&gt;=25,750,IF(Main[[#This Row],[Years of Service]]&gt;=20,500,IF(Main[[#This Row],[Years of Service]]&gt;=15,300,IF(Main[[#This Row],[Years of Service]]&gt;=10,150,IF(Main[[#This Row],[Years of Service]]&gt;=5,75,0))))))</f>
        <v>0</v>
      </c>
      <c r="K67" s="9">
        <f ca="1">SUM(Main[[#This Row],[Longevity]],Main[[#This Row],[Yearly Salary]],Main[[#This Row],[Commission]])</f>
        <v>20280</v>
      </c>
      <c r="L67" s="9" t="s">
        <v>35</v>
      </c>
      <c r="M67" s="11">
        <v>41778</v>
      </c>
      <c r="N67" s="12">
        <v>2032872699</v>
      </c>
      <c r="O67" s="13" t="s">
        <v>237</v>
      </c>
      <c r="P67" s="14" t="s">
        <v>238</v>
      </c>
      <c r="Q67" t="s">
        <v>81</v>
      </c>
      <c r="R67" s="16">
        <v>6513</v>
      </c>
      <c r="S67" s="12">
        <v>2037463715</v>
      </c>
      <c r="T67">
        <v>27</v>
      </c>
    </row>
    <row r="68" spans="1:20" x14ac:dyDescent="0.25">
      <c r="A68" s="8">
        <v>67</v>
      </c>
      <c r="B68" t="s">
        <v>239</v>
      </c>
      <c r="C68" t="s">
        <v>13</v>
      </c>
      <c r="D68" s="9">
        <f>IF(Main[[#This Row],[Department]]="Management",40,IF(Main[[#This Row],[Department]]="Sales",22,IF(Main[[#This Row],[Department]]="Human Resources",28,IF(Main[[#This Row],[Department]]="Marketing",26,IF(Main[[#This Row],[Department]]="Custodial",26,"Temp")))))</f>
        <v>22</v>
      </c>
      <c r="E68">
        <v>19.5</v>
      </c>
      <c r="F68" s="9">
        <f>(Main[[#This Row],[$/Hour]]*Main[[#This Row],[Hours/week]])*52</f>
        <v>22308</v>
      </c>
      <c r="G68" s="10">
        <v>84162</v>
      </c>
      <c r="H68" s="10">
        <f>IF(ISNUMBER(Main[[#This Row],[Sales]]),Main[[#This Row],[Sales]]*0.03,"-")</f>
        <v>2524.86</v>
      </c>
      <c r="I68">
        <f ca="1">DATEDIF(Main[[#This Row],[Date Hired]],TODAY(),"Y")</f>
        <v>5</v>
      </c>
      <c r="J68" s="9">
        <f ca="1">IF(Main[[#This Row],[Years of Service]]&gt;=30,1000,IF(Main[[#This Row],[Years of Service]]&gt;=25,750,IF(Main[[#This Row],[Years of Service]]&gt;=20,500,IF(Main[[#This Row],[Years of Service]]&gt;=15,300,IF(Main[[#This Row],[Years of Service]]&gt;=10,150,IF(Main[[#This Row],[Years of Service]]&gt;=5,75,0))))))</f>
        <v>75</v>
      </c>
      <c r="K68" s="9">
        <f ca="1">SUM(Main[[#This Row],[Longevity]],Main[[#This Row],[Yearly Salary]],Main[[#This Row],[Commission]])</f>
        <v>24907.86</v>
      </c>
      <c r="L68" s="9" t="s">
        <v>35</v>
      </c>
      <c r="M68" s="11">
        <v>41512</v>
      </c>
      <c r="N68" s="12">
        <v>2032872338</v>
      </c>
      <c r="O68" s="13" t="s">
        <v>240</v>
      </c>
      <c r="P68" s="14" t="s">
        <v>241</v>
      </c>
      <c r="Q68" t="s">
        <v>81</v>
      </c>
      <c r="R68" s="16">
        <v>6504</v>
      </c>
      <c r="S68" s="12">
        <v>2037257941</v>
      </c>
      <c r="T68">
        <v>42</v>
      </c>
    </row>
    <row r="69" spans="1:20" x14ac:dyDescent="0.25">
      <c r="A69" s="8">
        <v>68</v>
      </c>
      <c r="B69" t="s">
        <v>242</v>
      </c>
      <c r="C69" t="s">
        <v>13</v>
      </c>
      <c r="D69" s="9">
        <f>IF(Main[[#This Row],[Department]]="Management",40,IF(Main[[#This Row],[Department]]="Sales",22,IF(Main[[#This Row],[Department]]="Human Resources",28,IF(Main[[#This Row],[Department]]="Marketing",26,IF(Main[[#This Row],[Department]]="Custodial",26,"Temp")))))</f>
        <v>22</v>
      </c>
      <c r="E69">
        <v>19.5</v>
      </c>
      <c r="F69" s="9">
        <f>(Main[[#This Row],[$/Hour]]*Main[[#This Row],[Hours/week]])*52</f>
        <v>22308</v>
      </c>
      <c r="G69" s="10">
        <v>42588</v>
      </c>
      <c r="H69" s="10">
        <f>IF(ISNUMBER(Main[[#This Row],[Sales]]),Main[[#This Row],[Sales]]*0.03,"-")</f>
        <v>1277.6399999999999</v>
      </c>
      <c r="I69">
        <f ca="1">DATEDIF(Main[[#This Row],[Date Hired]],TODAY(),"Y")</f>
        <v>5</v>
      </c>
      <c r="J69" s="9">
        <f ca="1">IF(Main[[#This Row],[Years of Service]]&gt;=30,1000,IF(Main[[#This Row],[Years of Service]]&gt;=25,750,IF(Main[[#This Row],[Years of Service]]&gt;=20,500,IF(Main[[#This Row],[Years of Service]]&gt;=15,300,IF(Main[[#This Row],[Years of Service]]&gt;=10,150,IF(Main[[#This Row],[Years of Service]]&gt;=5,75,0))))))</f>
        <v>75</v>
      </c>
      <c r="K69" s="9">
        <f ca="1">SUM(Main[[#This Row],[Longevity]],Main[[#This Row],[Yearly Salary]],Main[[#This Row],[Commission]])</f>
        <v>23660.639999999999</v>
      </c>
      <c r="L69" s="9" t="s">
        <v>35</v>
      </c>
      <c r="M69" s="11">
        <v>41594</v>
      </c>
      <c r="N69" s="12">
        <v>2032872369</v>
      </c>
      <c r="O69" s="13" t="s">
        <v>243</v>
      </c>
      <c r="P69" s="14" t="s">
        <v>244</v>
      </c>
      <c r="Q69" t="s">
        <v>38</v>
      </c>
      <c r="R69" s="16">
        <v>6492</v>
      </c>
      <c r="S69" s="12">
        <v>2038577239</v>
      </c>
      <c r="T69">
        <v>39</v>
      </c>
    </row>
    <row r="70" spans="1:20" x14ac:dyDescent="0.25">
      <c r="A70" s="8">
        <v>69</v>
      </c>
      <c r="B70" t="s">
        <v>245</v>
      </c>
      <c r="C70" t="s">
        <v>13</v>
      </c>
      <c r="D70" s="9">
        <f>IF(Main[[#This Row],[Department]]="Management",40,IF(Main[[#This Row],[Department]]="Sales",22,IF(Main[[#This Row],[Department]]="Human Resources",28,IF(Main[[#This Row],[Department]]="Marketing",26,IF(Main[[#This Row],[Department]]="Custodial",26,"Temp")))))</f>
        <v>22</v>
      </c>
      <c r="E70">
        <v>35</v>
      </c>
      <c r="F70" s="9">
        <f>(Main[[#This Row],[$/Hour]]*Main[[#This Row],[Hours/week]])*52</f>
        <v>40040</v>
      </c>
      <c r="G70" s="10">
        <v>61880</v>
      </c>
      <c r="H70" s="10">
        <f>IF(ISNUMBER(Main[[#This Row],[Sales]]),Main[[#This Row],[Sales]]*0.03,"-")</f>
        <v>1856.3999999999999</v>
      </c>
      <c r="I70">
        <f ca="1">DATEDIF(Main[[#This Row],[Date Hired]],TODAY(),"Y")</f>
        <v>15</v>
      </c>
      <c r="J70" s="9">
        <f ca="1">IF(Main[[#This Row],[Years of Service]]&gt;=30,1000,IF(Main[[#This Row],[Years of Service]]&gt;=25,750,IF(Main[[#This Row],[Years of Service]]&gt;=20,500,IF(Main[[#This Row],[Years of Service]]&gt;=15,300,IF(Main[[#This Row],[Years of Service]]&gt;=10,150,IF(Main[[#This Row],[Years of Service]]&gt;=5,75,0))))))</f>
        <v>300</v>
      </c>
      <c r="K70" s="9">
        <f ca="1">SUM(Main[[#This Row],[Longevity]],Main[[#This Row],[Yearly Salary]],Main[[#This Row],[Commission]])</f>
        <v>42196.4</v>
      </c>
      <c r="L70" s="9" t="s">
        <v>35</v>
      </c>
      <c r="M70" s="11">
        <v>37782</v>
      </c>
      <c r="N70" s="12">
        <v>2032872337</v>
      </c>
      <c r="O70" s="13" t="s">
        <v>246</v>
      </c>
      <c r="P70" s="14" t="s">
        <v>247</v>
      </c>
      <c r="Q70" t="s">
        <v>33</v>
      </c>
      <c r="R70" s="16">
        <v>6473</v>
      </c>
      <c r="S70" s="12">
        <v>2034056272</v>
      </c>
      <c r="T70">
        <v>36</v>
      </c>
    </row>
    <row r="71" spans="1:20" x14ac:dyDescent="0.25">
      <c r="A71" s="8">
        <v>70</v>
      </c>
      <c r="B71" t="s">
        <v>248</v>
      </c>
      <c r="C71" t="s">
        <v>13</v>
      </c>
      <c r="D71" s="9">
        <f>IF(Main[[#This Row],[Department]]="Management",40,IF(Main[[#This Row],[Department]]="Sales",22,IF(Main[[#This Row],[Department]]="Human Resources",28,IF(Main[[#This Row],[Department]]="Marketing",26,IF(Main[[#This Row],[Department]]="Custodial",26,"Temp")))))</f>
        <v>22</v>
      </c>
      <c r="E71">
        <v>23</v>
      </c>
      <c r="F71" s="9">
        <f>(Main[[#This Row],[$/Hour]]*Main[[#This Row],[Hours/week]])*52</f>
        <v>26312</v>
      </c>
      <c r="G71" s="10">
        <v>68172</v>
      </c>
      <c r="H71" s="10">
        <f>IF(ISNUMBER(Main[[#This Row],[Sales]]),Main[[#This Row],[Sales]]*0.03,"-")</f>
        <v>2045.1599999999999</v>
      </c>
      <c r="I71">
        <f ca="1">DATEDIF(Main[[#This Row],[Date Hired]],TODAY(),"Y")</f>
        <v>11</v>
      </c>
      <c r="J71" s="9">
        <f ca="1">IF(Main[[#This Row],[Years of Service]]&gt;=30,1000,IF(Main[[#This Row],[Years of Service]]&gt;=25,750,IF(Main[[#This Row],[Years of Service]]&gt;=20,500,IF(Main[[#This Row],[Years of Service]]&gt;=15,300,IF(Main[[#This Row],[Years of Service]]&gt;=10,150,IF(Main[[#This Row],[Years of Service]]&gt;=5,75,0))))))</f>
        <v>150</v>
      </c>
      <c r="K71" s="9">
        <f ca="1">SUM(Main[[#This Row],[Longevity]],Main[[#This Row],[Yearly Salary]],Main[[#This Row],[Commission]])</f>
        <v>28507.16</v>
      </c>
      <c r="L71" s="9" t="s">
        <v>35</v>
      </c>
      <c r="M71" s="11">
        <v>39245</v>
      </c>
      <c r="N71" s="12">
        <v>2032872636</v>
      </c>
      <c r="O71" s="13" t="s">
        <v>249</v>
      </c>
      <c r="P71" s="14" t="s">
        <v>250</v>
      </c>
      <c r="Q71" t="s">
        <v>42</v>
      </c>
      <c r="R71" s="16">
        <v>6517</v>
      </c>
      <c r="S71" s="12">
        <v>2038278686</v>
      </c>
      <c r="T71">
        <v>47</v>
      </c>
    </row>
    <row r="72" spans="1:20" x14ac:dyDescent="0.25">
      <c r="A72" s="8">
        <v>71</v>
      </c>
      <c r="B72" t="s">
        <v>251</v>
      </c>
      <c r="C72" t="s">
        <v>13</v>
      </c>
      <c r="D72" s="9">
        <f>IF(Main[[#This Row],[Department]]="Management",40,IF(Main[[#This Row],[Department]]="Sales",22,IF(Main[[#This Row],[Department]]="Human Resources",28,IF(Main[[#This Row],[Department]]="Marketing",26,IF(Main[[#This Row],[Department]]="Custodial",26,"Temp")))))</f>
        <v>22</v>
      </c>
      <c r="E72">
        <v>15</v>
      </c>
      <c r="F72" s="9">
        <f>(Main[[#This Row],[$/Hour]]*Main[[#This Row],[Hours/week]])*52</f>
        <v>17160</v>
      </c>
      <c r="G72" s="10">
        <v>50700</v>
      </c>
      <c r="H72" s="10">
        <f>IF(ISNUMBER(Main[[#This Row],[Sales]]),Main[[#This Row],[Sales]]*0.03,"-")</f>
        <v>1521</v>
      </c>
      <c r="I72">
        <f ca="1">DATEDIF(Main[[#This Row],[Date Hired]],TODAY(),"Y")</f>
        <v>22</v>
      </c>
      <c r="J72" s="9">
        <f ca="1">IF(Main[[#This Row],[Years of Service]]&gt;=30,1000,IF(Main[[#This Row],[Years of Service]]&gt;=25,750,IF(Main[[#This Row],[Years of Service]]&gt;=20,500,IF(Main[[#This Row],[Years of Service]]&gt;=15,300,IF(Main[[#This Row],[Years of Service]]&gt;=10,150,IF(Main[[#This Row],[Years of Service]]&gt;=5,75,0))))))</f>
        <v>500</v>
      </c>
      <c r="K72" s="9">
        <f ca="1">SUM(Main[[#This Row],[Longevity]],Main[[#This Row],[Yearly Salary]],Main[[#This Row],[Commission]])</f>
        <v>19181</v>
      </c>
      <c r="L72" s="9" t="s">
        <v>35</v>
      </c>
      <c r="M72" s="11">
        <v>35471</v>
      </c>
      <c r="N72" s="12">
        <v>2032872646</v>
      </c>
      <c r="O72" s="13" t="s">
        <v>252</v>
      </c>
      <c r="P72" s="14" t="s">
        <v>253</v>
      </c>
      <c r="Q72" t="s">
        <v>81</v>
      </c>
      <c r="R72" s="16">
        <v>6505</v>
      </c>
      <c r="S72" s="12">
        <v>2034033251</v>
      </c>
      <c r="T72">
        <v>52</v>
      </c>
    </row>
    <row r="73" spans="1:20" x14ac:dyDescent="0.25">
      <c r="A73" s="8">
        <v>72</v>
      </c>
      <c r="B73" t="s">
        <v>254</v>
      </c>
      <c r="C73" t="s">
        <v>13</v>
      </c>
      <c r="D73" s="9">
        <f>IF(Main[[#This Row],[Department]]="Management",40,IF(Main[[#This Row],[Department]]="Sales",22,IF(Main[[#This Row],[Department]]="Human Resources",28,IF(Main[[#This Row],[Department]]="Marketing",26,IF(Main[[#This Row],[Department]]="Custodial",26,"Temp")))))</f>
        <v>22</v>
      </c>
      <c r="E73">
        <v>19.5</v>
      </c>
      <c r="F73" s="9">
        <f>(Main[[#This Row],[$/Hour]]*Main[[#This Row],[Hours/week]])*52</f>
        <v>22308</v>
      </c>
      <c r="G73" s="10">
        <v>58812</v>
      </c>
      <c r="H73" s="10">
        <f>IF(ISNUMBER(Main[[#This Row],[Sales]]),Main[[#This Row],[Sales]]*0.03,"-")</f>
        <v>1764.36</v>
      </c>
      <c r="I73">
        <f ca="1">DATEDIF(Main[[#This Row],[Date Hired]],TODAY(),"Y")</f>
        <v>18</v>
      </c>
      <c r="J73" s="9">
        <f ca="1">IF(Main[[#This Row],[Years of Service]]&gt;=30,1000,IF(Main[[#This Row],[Years of Service]]&gt;=25,750,IF(Main[[#This Row],[Years of Service]]&gt;=20,500,IF(Main[[#This Row],[Years of Service]]&gt;=15,300,IF(Main[[#This Row],[Years of Service]]&gt;=10,150,IF(Main[[#This Row],[Years of Service]]&gt;=5,75,0))))))</f>
        <v>300</v>
      </c>
      <c r="K73" s="9">
        <f ca="1">SUM(Main[[#This Row],[Longevity]],Main[[#This Row],[Yearly Salary]],Main[[#This Row],[Commission]])</f>
        <v>24372.36</v>
      </c>
      <c r="L73" s="9" t="s">
        <v>35</v>
      </c>
      <c r="M73" s="11">
        <v>36883</v>
      </c>
      <c r="N73" s="12">
        <v>2032872371</v>
      </c>
      <c r="O73" s="13" t="s">
        <v>255</v>
      </c>
      <c r="P73" s="14" t="s">
        <v>256</v>
      </c>
      <c r="Q73" t="s">
        <v>50</v>
      </c>
      <c r="R73" s="16">
        <v>6410</v>
      </c>
      <c r="S73" s="12">
        <v>1679759990</v>
      </c>
      <c r="T73">
        <v>37</v>
      </c>
    </row>
    <row r="74" spans="1:20" x14ac:dyDescent="0.25">
      <c r="A74" s="8">
        <v>73</v>
      </c>
      <c r="B74" t="s">
        <v>257</v>
      </c>
      <c r="C74" t="s">
        <v>13</v>
      </c>
      <c r="D74" s="9">
        <f>IF(Main[[#This Row],[Department]]="Management",40,IF(Main[[#This Row],[Department]]="Sales",22,IF(Main[[#This Row],[Department]]="Human Resources",28,IF(Main[[#This Row],[Department]]="Marketing",26,IF(Main[[#This Row],[Department]]="Custodial",26,"Temp")))))</f>
        <v>22</v>
      </c>
      <c r="E74">
        <v>19.5</v>
      </c>
      <c r="F74" s="9">
        <f>(Main[[#This Row],[$/Hour]]*Main[[#This Row],[Hours/week]])*52</f>
        <v>22308</v>
      </c>
      <c r="G74" s="10">
        <v>28392</v>
      </c>
      <c r="H74" s="10">
        <f>IF(ISNUMBER(Main[[#This Row],[Sales]]),Main[[#This Row],[Sales]]*0.03,"-")</f>
        <v>851.76</v>
      </c>
      <c r="I74">
        <f ca="1">DATEDIF(Main[[#This Row],[Date Hired]],TODAY(),"Y")</f>
        <v>31</v>
      </c>
      <c r="J74" s="9">
        <f ca="1">IF(Main[[#This Row],[Years of Service]]&gt;=30,1000,IF(Main[[#This Row],[Years of Service]]&gt;=25,750,IF(Main[[#This Row],[Years of Service]]&gt;=20,500,IF(Main[[#This Row],[Years of Service]]&gt;=15,300,IF(Main[[#This Row],[Years of Service]]&gt;=10,150,IF(Main[[#This Row],[Years of Service]]&gt;=5,75,0))))))</f>
        <v>1000</v>
      </c>
      <c r="K74" s="9">
        <f ca="1">SUM(Main[[#This Row],[Longevity]],Main[[#This Row],[Yearly Salary]],Main[[#This Row],[Commission]])</f>
        <v>24159.759999999998</v>
      </c>
      <c r="L74" s="9" t="s">
        <v>30</v>
      </c>
      <c r="M74" s="11">
        <v>32148</v>
      </c>
      <c r="N74" s="12">
        <v>2032872639</v>
      </c>
      <c r="O74" s="13" t="s">
        <v>258</v>
      </c>
      <c r="P74" s="14" t="s">
        <v>259</v>
      </c>
      <c r="Q74" t="s">
        <v>50</v>
      </c>
      <c r="R74" s="16">
        <v>6410</v>
      </c>
      <c r="S74" s="12">
        <v>2038402625</v>
      </c>
      <c r="T74">
        <v>54</v>
      </c>
    </row>
    <row r="75" spans="1:20" x14ac:dyDescent="0.25">
      <c r="A75" s="8">
        <v>74</v>
      </c>
      <c r="B75" t="s">
        <v>260</v>
      </c>
      <c r="C75" t="s">
        <v>13</v>
      </c>
      <c r="D75" s="9">
        <f>IF(Main[[#This Row],[Department]]="Management",40,IF(Main[[#This Row],[Department]]="Sales",22,IF(Main[[#This Row],[Department]]="Human Resources",28,IF(Main[[#This Row],[Department]]="Marketing",26,IF(Main[[#This Row],[Department]]="Custodial",26,"Temp")))))</f>
        <v>22</v>
      </c>
      <c r="E75">
        <v>35</v>
      </c>
      <c r="F75" s="9">
        <f>(Main[[#This Row],[$/Hour]]*Main[[#This Row],[Hours/week]])*52</f>
        <v>40040</v>
      </c>
      <c r="G75" s="10">
        <v>163800</v>
      </c>
      <c r="H75" s="10">
        <f>IF(ISNUMBER(Main[[#This Row],[Sales]]),Main[[#This Row],[Sales]]*0.03,"-")</f>
        <v>4914</v>
      </c>
      <c r="I75">
        <f ca="1">DATEDIF(Main[[#This Row],[Date Hired]],TODAY(),"Y")</f>
        <v>16</v>
      </c>
      <c r="J75" s="9">
        <f ca="1">IF(Main[[#This Row],[Years of Service]]&gt;=30,1000,IF(Main[[#This Row],[Years of Service]]&gt;=25,750,IF(Main[[#This Row],[Years of Service]]&gt;=20,500,IF(Main[[#This Row],[Years of Service]]&gt;=15,300,IF(Main[[#This Row],[Years of Service]]&gt;=10,150,IF(Main[[#This Row],[Years of Service]]&gt;=5,75,0))))))</f>
        <v>300</v>
      </c>
      <c r="K75" s="9">
        <f ca="1">SUM(Main[[#This Row],[Longevity]],Main[[#This Row],[Yearly Salary]],Main[[#This Row],[Commission]])</f>
        <v>45254</v>
      </c>
      <c r="L75" s="9" t="s">
        <v>35</v>
      </c>
      <c r="M75" s="11">
        <v>37698</v>
      </c>
      <c r="N75" s="12">
        <v>2032872694</v>
      </c>
      <c r="O75" s="13" t="s">
        <v>261</v>
      </c>
      <c r="P75" s="14" t="s">
        <v>262</v>
      </c>
      <c r="Q75" t="s">
        <v>38</v>
      </c>
      <c r="R75" s="16">
        <v>6492</v>
      </c>
      <c r="S75" s="12">
        <v>2039358518</v>
      </c>
      <c r="T75">
        <v>36</v>
      </c>
    </row>
    <row r="76" spans="1:20" x14ac:dyDescent="0.25">
      <c r="A76" s="8">
        <v>75</v>
      </c>
      <c r="B76" t="s">
        <v>263</v>
      </c>
      <c r="C76" t="s">
        <v>13</v>
      </c>
      <c r="D76" s="9">
        <f>IF(Main[[#This Row],[Department]]="Management",40,IF(Main[[#This Row],[Department]]="Sales",22,IF(Main[[#This Row],[Department]]="Human Resources",28,IF(Main[[#This Row],[Department]]="Marketing",26,IF(Main[[#This Row],[Department]]="Custodial",26,"Temp")))))</f>
        <v>22</v>
      </c>
      <c r="E76">
        <v>23</v>
      </c>
      <c r="F76" s="9">
        <f>(Main[[#This Row],[$/Hour]]*Main[[#This Row],[Hours/week]])*52</f>
        <v>26312</v>
      </c>
      <c r="G76" s="10">
        <v>92092</v>
      </c>
      <c r="H76" s="10">
        <f>IF(ISNUMBER(Main[[#This Row],[Sales]]),Main[[#This Row],[Sales]]*0.03,"-")</f>
        <v>2762.7599999999998</v>
      </c>
      <c r="I76">
        <f ca="1">DATEDIF(Main[[#This Row],[Date Hired]],TODAY(),"Y")</f>
        <v>30</v>
      </c>
      <c r="J76" s="9">
        <f ca="1">IF(Main[[#This Row],[Years of Service]]&gt;=30,1000,IF(Main[[#This Row],[Years of Service]]&gt;=25,750,IF(Main[[#This Row],[Years of Service]]&gt;=20,500,IF(Main[[#This Row],[Years of Service]]&gt;=15,300,IF(Main[[#This Row],[Years of Service]]&gt;=10,150,IF(Main[[#This Row],[Years of Service]]&gt;=5,75,0))))))</f>
        <v>1000</v>
      </c>
      <c r="K76" s="9">
        <f ca="1">SUM(Main[[#This Row],[Longevity]],Main[[#This Row],[Yearly Salary]],Main[[#This Row],[Commission]])</f>
        <v>30074.76</v>
      </c>
      <c r="L76" s="9" t="s">
        <v>35</v>
      </c>
      <c r="M76" s="11">
        <v>32331</v>
      </c>
      <c r="N76" s="12">
        <v>2032872680</v>
      </c>
      <c r="O76" s="13" t="s">
        <v>264</v>
      </c>
      <c r="P76" s="14" t="s">
        <v>265</v>
      </c>
      <c r="Q76" t="s">
        <v>33</v>
      </c>
      <c r="R76" s="16">
        <v>6473</v>
      </c>
      <c r="S76" s="12">
        <v>2032994174</v>
      </c>
      <c r="T76">
        <v>57</v>
      </c>
    </row>
    <row r="77" spans="1:20" x14ac:dyDescent="0.25">
      <c r="A77" s="8">
        <v>76</v>
      </c>
      <c r="B77" t="s">
        <v>266</v>
      </c>
      <c r="C77" t="s">
        <v>62</v>
      </c>
      <c r="D77" s="9">
        <f>IF(Main[[#This Row],[Department]]="Management",40,IF(Main[[#This Row],[Department]]="Sales",22,IF(Main[[#This Row],[Department]]="Human Resources",28,IF(Main[[#This Row],[Department]]="Marketing",26,IF(Main[[#This Row],[Department]]="Custodial",26,"Temp")))))</f>
        <v>26</v>
      </c>
      <c r="E77">
        <v>37.5</v>
      </c>
      <c r="F77" s="9">
        <f>(Main[[#This Row],[$/Hour]]*Main[[#This Row],[Hours/week]])*52</f>
        <v>50700</v>
      </c>
      <c r="G77" s="10" t="s">
        <v>29</v>
      </c>
      <c r="H77" s="10" t="str">
        <f>IF(ISNUMBER(Main[[#This Row],[Sales]]),Main[[#This Row],[Sales]]*0.03,"-")</f>
        <v>-</v>
      </c>
      <c r="I77">
        <f ca="1">DATEDIF(Main[[#This Row],[Date Hired]],TODAY(),"Y")</f>
        <v>18</v>
      </c>
      <c r="J77" s="9">
        <f ca="1">IF(Main[[#This Row],[Years of Service]]&gt;=30,1000,IF(Main[[#This Row],[Years of Service]]&gt;=25,750,IF(Main[[#This Row],[Years of Service]]&gt;=20,500,IF(Main[[#This Row],[Years of Service]]&gt;=15,300,IF(Main[[#This Row],[Years of Service]]&gt;=10,150,IF(Main[[#This Row],[Years of Service]]&gt;=5,75,0))))))</f>
        <v>300</v>
      </c>
      <c r="K77" s="9">
        <f ca="1">SUM(Main[[#This Row],[Longevity]],Main[[#This Row],[Yearly Salary]],Main[[#This Row],[Commission]])</f>
        <v>51000</v>
      </c>
      <c r="L77" s="9" t="s">
        <v>35</v>
      </c>
      <c r="M77" s="11">
        <v>36950</v>
      </c>
      <c r="N77" s="12">
        <v>2032872669</v>
      </c>
      <c r="O77" s="13" t="s">
        <v>267</v>
      </c>
      <c r="P77" s="14" t="s">
        <v>268</v>
      </c>
      <c r="Q77" t="s">
        <v>42</v>
      </c>
      <c r="R77" s="16">
        <v>6517</v>
      </c>
      <c r="S77" s="12">
        <v>2036115433</v>
      </c>
      <c r="T77">
        <v>49</v>
      </c>
    </row>
    <row r="78" spans="1:20" x14ac:dyDescent="0.25">
      <c r="A78" s="8">
        <v>77</v>
      </c>
      <c r="B78" t="s">
        <v>269</v>
      </c>
      <c r="C78" t="s">
        <v>13</v>
      </c>
      <c r="D78" s="9">
        <f>IF(Main[[#This Row],[Department]]="Management",40,IF(Main[[#This Row],[Department]]="Sales",22,IF(Main[[#This Row],[Department]]="Human Resources",28,IF(Main[[#This Row],[Department]]="Marketing",26,IF(Main[[#This Row],[Department]]="Custodial",26,"Temp")))))</f>
        <v>22</v>
      </c>
      <c r="E78">
        <v>37.5</v>
      </c>
      <c r="F78" s="9">
        <f>(Main[[#This Row],[$/Hour]]*Main[[#This Row],[Hours/week]])*52</f>
        <v>42900</v>
      </c>
      <c r="G78" s="10">
        <v>189150</v>
      </c>
      <c r="H78" s="10">
        <f>IF(ISNUMBER(Main[[#This Row],[Sales]]),Main[[#This Row],[Sales]]*0.03,"-")</f>
        <v>5674.5</v>
      </c>
      <c r="I78">
        <f ca="1">DATEDIF(Main[[#This Row],[Date Hired]],TODAY(),"Y")</f>
        <v>31</v>
      </c>
      <c r="J78" s="9">
        <f ca="1">IF(Main[[#This Row],[Years of Service]]&gt;=30,1000,IF(Main[[#This Row],[Years of Service]]&gt;=25,750,IF(Main[[#This Row],[Years of Service]]&gt;=20,500,IF(Main[[#This Row],[Years of Service]]&gt;=15,300,IF(Main[[#This Row],[Years of Service]]&gt;=10,150,IF(Main[[#This Row],[Years of Service]]&gt;=5,75,0))))))</f>
        <v>1000</v>
      </c>
      <c r="K78" s="9">
        <f ca="1">SUM(Main[[#This Row],[Longevity]],Main[[#This Row],[Yearly Salary]],Main[[#This Row],[Commission]])</f>
        <v>49574.5</v>
      </c>
      <c r="L78" s="9" t="s">
        <v>35</v>
      </c>
      <c r="M78" s="11">
        <v>32161</v>
      </c>
      <c r="N78" s="12">
        <v>2032872662</v>
      </c>
      <c r="O78" s="13" t="s">
        <v>270</v>
      </c>
      <c r="P78" s="14" t="s">
        <v>271</v>
      </c>
      <c r="Q78" t="s">
        <v>42</v>
      </c>
      <c r="R78" s="16">
        <v>6514</v>
      </c>
      <c r="S78" s="12">
        <v>4707154667</v>
      </c>
      <c r="T78">
        <v>60</v>
      </c>
    </row>
    <row r="79" spans="1:20" x14ac:dyDescent="0.25">
      <c r="A79" s="8">
        <v>78</v>
      </c>
      <c r="B79" t="s">
        <v>272</v>
      </c>
      <c r="C79" t="s">
        <v>13</v>
      </c>
      <c r="D79" s="9">
        <f>IF(Main[[#This Row],[Department]]="Management",40,IF(Main[[#This Row],[Department]]="Sales",22,IF(Main[[#This Row],[Department]]="Human Resources",28,IF(Main[[#This Row],[Department]]="Marketing",26,IF(Main[[#This Row],[Department]]="Custodial",26,"Temp")))))</f>
        <v>22</v>
      </c>
      <c r="E79">
        <v>23</v>
      </c>
      <c r="F79" s="9">
        <f>(Main[[#This Row],[$/Hour]]*Main[[#This Row],[Hours/week]])*52</f>
        <v>26312</v>
      </c>
      <c r="G79" s="10">
        <v>35880</v>
      </c>
      <c r="H79" s="10">
        <f>IF(ISNUMBER(Main[[#This Row],[Sales]]),Main[[#This Row],[Sales]]*0.03,"-")</f>
        <v>1076.3999999999999</v>
      </c>
      <c r="I79">
        <f ca="1">DATEDIF(Main[[#This Row],[Date Hired]],TODAY(),"Y")</f>
        <v>11</v>
      </c>
      <c r="J79" s="9">
        <f ca="1">IF(Main[[#This Row],[Years of Service]]&gt;=30,1000,IF(Main[[#This Row],[Years of Service]]&gt;=25,750,IF(Main[[#This Row],[Years of Service]]&gt;=20,500,IF(Main[[#This Row],[Years of Service]]&gt;=15,300,IF(Main[[#This Row],[Years of Service]]&gt;=10,150,IF(Main[[#This Row],[Years of Service]]&gt;=5,75,0))))))</f>
        <v>150</v>
      </c>
      <c r="K79" s="9">
        <f ca="1">SUM(Main[[#This Row],[Longevity]],Main[[#This Row],[Yearly Salary]],Main[[#This Row],[Commission]])</f>
        <v>27538.400000000001</v>
      </c>
      <c r="L79" s="9" t="s">
        <v>35</v>
      </c>
      <c r="M79" s="11">
        <v>39410</v>
      </c>
      <c r="N79" s="12">
        <v>2032872359</v>
      </c>
      <c r="O79" s="13" t="s">
        <v>273</v>
      </c>
      <c r="P79" s="14" t="s">
        <v>274</v>
      </c>
      <c r="Q79" t="s">
        <v>81</v>
      </c>
      <c r="R79" s="16">
        <v>6521</v>
      </c>
      <c r="S79" s="12">
        <v>2034576579</v>
      </c>
      <c r="T79">
        <v>43</v>
      </c>
    </row>
    <row r="80" spans="1:20" x14ac:dyDescent="0.25">
      <c r="A80" s="8">
        <v>79</v>
      </c>
      <c r="B80" t="s">
        <v>275</v>
      </c>
      <c r="C80" t="s">
        <v>13</v>
      </c>
      <c r="D80" s="9">
        <f>IF(Main[[#This Row],[Department]]="Management",40,IF(Main[[#This Row],[Department]]="Sales",22,IF(Main[[#This Row],[Department]]="Human Resources",28,IF(Main[[#This Row],[Department]]="Marketing",26,IF(Main[[#This Row],[Department]]="Custodial",26,"Temp")))))</f>
        <v>22</v>
      </c>
      <c r="E80">
        <v>23</v>
      </c>
      <c r="F80" s="9">
        <f>(Main[[#This Row],[$/Hour]]*Main[[#This Row],[Hours/week]])*52</f>
        <v>26312</v>
      </c>
      <c r="G80" s="10">
        <v>59800</v>
      </c>
      <c r="H80" s="10">
        <f>IF(ISNUMBER(Main[[#This Row],[Sales]]),Main[[#This Row],[Sales]]*0.03,"-")</f>
        <v>1794</v>
      </c>
      <c r="I80">
        <f ca="1">DATEDIF(Main[[#This Row],[Date Hired]],TODAY(),"Y")</f>
        <v>6</v>
      </c>
      <c r="J80" s="9">
        <f ca="1">IF(Main[[#This Row],[Years of Service]]&gt;=30,1000,IF(Main[[#This Row],[Years of Service]]&gt;=25,750,IF(Main[[#This Row],[Years of Service]]&gt;=20,500,IF(Main[[#This Row],[Years of Service]]&gt;=15,300,IF(Main[[#This Row],[Years of Service]]&gt;=10,150,IF(Main[[#This Row],[Years of Service]]&gt;=5,75,0))))))</f>
        <v>75</v>
      </c>
      <c r="K80" s="9">
        <f ca="1">SUM(Main[[#This Row],[Longevity]],Main[[#This Row],[Yearly Salary]],Main[[#This Row],[Commission]])</f>
        <v>28181</v>
      </c>
      <c r="L80" s="9" t="s">
        <v>35</v>
      </c>
      <c r="M80" s="11">
        <v>41342</v>
      </c>
      <c r="N80" s="12">
        <v>2032872665</v>
      </c>
      <c r="O80" s="13" t="s">
        <v>276</v>
      </c>
      <c r="P80" s="14" t="s">
        <v>277</v>
      </c>
      <c r="Q80" t="s">
        <v>81</v>
      </c>
      <c r="R80" s="16">
        <v>6509</v>
      </c>
      <c r="S80" s="12">
        <v>2037961184</v>
      </c>
      <c r="T80">
        <v>43</v>
      </c>
    </row>
    <row r="81" spans="1:20" x14ac:dyDescent="0.25">
      <c r="A81" s="8">
        <v>80</v>
      </c>
      <c r="B81" t="s">
        <v>278</v>
      </c>
      <c r="C81" t="s">
        <v>78</v>
      </c>
      <c r="D81" s="9">
        <f>IF(Main[[#This Row],[Department]]="Management",40,IF(Main[[#This Row],[Department]]="Sales",22,IF(Main[[#This Row],[Department]]="Human Resources",28,IF(Main[[#This Row],[Department]]="Marketing",26,IF(Main[[#This Row],[Department]]="Custodial",26,"Temp")))))</f>
        <v>26</v>
      </c>
      <c r="E81">
        <v>37.5</v>
      </c>
      <c r="F81" s="9">
        <f>(Main[[#This Row],[$/Hour]]*Main[[#This Row],[Hours/week]])*52</f>
        <v>50700</v>
      </c>
      <c r="G81" s="10" t="s">
        <v>29</v>
      </c>
      <c r="H81" s="10" t="str">
        <f>IF(ISNUMBER(Main[[#This Row],[Sales]]),Main[[#This Row],[Sales]]*0.03,"-")</f>
        <v>-</v>
      </c>
      <c r="I81">
        <f ca="1">DATEDIF(Main[[#This Row],[Date Hired]],TODAY(),"Y")</f>
        <v>10</v>
      </c>
      <c r="J81" s="9">
        <f ca="1">IF(Main[[#This Row],[Years of Service]]&gt;=30,1000,IF(Main[[#This Row],[Years of Service]]&gt;=25,750,IF(Main[[#This Row],[Years of Service]]&gt;=20,500,IF(Main[[#This Row],[Years of Service]]&gt;=15,300,IF(Main[[#This Row],[Years of Service]]&gt;=10,150,IF(Main[[#This Row],[Years of Service]]&gt;=5,75,0))))))</f>
        <v>150</v>
      </c>
      <c r="K81" s="9">
        <f ca="1">SUM(Main[[#This Row],[Longevity]],Main[[#This Row],[Yearly Salary]],Main[[#This Row],[Commission]])</f>
        <v>50850</v>
      </c>
      <c r="L81" s="9" t="s">
        <v>35</v>
      </c>
      <c r="M81" s="11">
        <v>39886</v>
      </c>
      <c r="N81" s="12">
        <v>2032872323</v>
      </c>
      <c r="O81" s="13" t="s">
        <v>279</v>
      </c>
      <c r="P81" s="14" t="s">
        <v>280</v>
      </c>
      <c r="Q81" t="s">
        <v>81</v>
      </c>
      <c r="R81" s="16">
        <v>6512</v>
      </c>
      <c r="S81" s="12">
        <v>2038864887</v>
      </c>
      <c r="T81">
        <v>35</v>
      </c>
    </row>
    <row r="82" spans="1:20" x14ac:dyDescent="0.25">
      <c r="A82" s="8">
        <v>81</v>
      </c>
      <c r="B82" t="s">
        <v>281</v>
      </c>
      <c r="C82" t="s">
        <v>13</v>
      </c>
      <c r="D82" s="9">
        <f>IF(Main[[#This Row],[Department]]="Management",40,IF(Main[[#This Row],[Department]]="Sales",22,IF(Main[[#This Row],[Department]]="Human Resources",28,IF(Main[[#This Row],[Department]]="Marketing",26,IF(Main[[#This Row],[Department]]="Custodial",26,"Temp")))))</f>
        <v>22</v>
      </c>
      <c r="E82">
        <v>23</v>
      </c>
      <c r="F82" s="9">
        <f>(Main[[#This Row],[$/Hour]]*Main[[#This Row],[Hours/week]])*52</f>
        <v>26312</v>
      </c>
      <c r="G82" s="10">
        <v>108836</v>
      </c>
      <c r="H82" s="10">
        <f>IF(ISNUMBER(Main[[#This Row],[Sales]]),Main[[#This Row],[Sales]]*0.03,"-")</f>
        <v>3265.08</v>
      </c>
      <c r="I82">
        <f ca="1">DATEDIF(Main[[#This Row],[Date Hired]],TODAY(),"Y")</f>
        <v>4</v>
      </c>
      <c r="J82" s="9">
        <f ca="1">IF(Main[[#This Row],[Years of Service]]&gt;=30,1000,IF(Main[[#This Row],[Years of Service]]&gt;=25,750,IF(Main[[#This Row],[Years of Service]]&gt;=20,500,IF(Main[[#This Row],[Years of Service]]&gt;=15,300,IF(Main[[#This Row],[Years of Service]]&gt;=10,150,IF(Main[[#This Row],[Years of Service]]&gt;=5,75,0))))))</f>
        <v>0</v>
      </c>
      <c r="K82" s="9">
        <f ca="1">SUM(Main[[#This Row],[Longevity]],Main[[#This Row],[Yearly Salary]],Main[[#This Row],[Commission]])</f>
        <v>29577.08</v>
      </c>
      <c r="L82" s="9" t="s">
        <v>30</v>
      </c>
      <c r="M82" s="11">
        <v>41969</v>
      </c>
      <c r="N82" s="12">
        <v>2032872659</v>
      </c>
      <c r="O82" s="13" t="s">
        <v>282</v>
      </c>
      <c r="P82" s="14" t="s">
        <v>283</v>
      </c>
      <c r="Q82" t="s">
        <v>88</v>
      </c>
      <c r="R82" s="16">
        <v>6524</v>
      </c>
      <c r="S82" s="12">
        <v>2034162316</v>
      </c>
      <c r="T82">
        <v>42</v>
      </c>
    </row>
    <row r="83" spans="1:20" x14ac:dyDescent="0.25">
      <c r="A83" s="8">
        <v>82</v>
      </c>
      <c r="B83" t="s">
        <v>284</v>
      </c>
      <c r="C83" t="s">
        <v>13</v>
      </c>
      <c r="D83" s="9">
        <f>IF(Main[[#This Row],[Department]]="Management",40,IF(Main[[#This Row],[Department]]="Sales",22,IF(Main[[#This Row],[Department]]="Human Resources",28,IF(Main[[#This Row],[Department]]="Marketing",26,IF(Main[[#This Row],[Department]]="Custodial",26,"Temp")))))</f>
        <v>22</v>
      </c>
      <c r="E83">
        <v>15</v>
      </c>
      <c r="F83" s="9">
        <f>(Main[[#This Row],[$/Hour]]*Main[[#This Row],[Hours/week]])*52</f>
        <v>17160</v>
      </c>
      <c r="G83" s="10">
        <v>28860</v>
      </c>
      <c r="H83" s="10">
        <f>IF(ISNUMBER(Main[[#This Row],[Sales]]),Main[[#This Row],[Sales]]*0.03,"-")</f>
        <v>865.8</v>
      </c>
      <c r="I83">
        <f ca="1">DATEDIF(Main[[#This Row],[Date Hired]],TODAY(),"Y")</f>
        <v>13</v>
      </c>
      <c r="J83" s="9">
        <f ca="1">IF(Main[[#This Row],[Years of Service]]&gt;=30,1000,IF(Main[[#This Row],[Years of Service]]&gt;=25,750,IF(Main[[#This Row],[Years of Service]]&gt;=20,500,IF(Main[[#This Row],[Years of Service]]&gt;=15,300,IF(Main[[#This Row],[Years of Service]]&gt;=10,150,IF(Main[[#This Row],[Years of Service]]&gt;=5,75,0))))))</f>
        <v>150</v>
      </c>
      <c r="K83" s="9">
        <f ca="1">SUM(Main[[#This Row],[Longevity]],Main[[#This Row],[Yearly Salary]],Main[[#This Row],[Commission]])</f>
        <v>18175.8</v>
      </c>
      <c r="L83" s="9" t="s">
        <v>35</v>
      </c>
      <c r="M83" s="11">
        <v>38565</v>
      </c>
      <c r="N83" s="12">
        <v>2032872667</v>
      </c>
      <c r="O83" s="13" t="s">
        <v>285</v>
      </c>
      <c r="P83" s="14" t="s">
        <v>286</v>
      </c>
      <c r="Q83" t="s">
        <v>46</v>
      </c>
      <c r="R83" s="16">
        <v>6512</v>
      </c>
      <c r="S83" s="12">
        <v>6378477033</v>
      </c>
      <c r="T83">
        <v>35</v>
      </c>
    </row>
    <row r="84" spans="1:20" x14ac:dyDescent="0.25">
      <c r="A84" s="8">
        <v>83</v>
      </c>
      <c r="B84" t="s">
        <v>287</v>
      </c>
      <c r="C84" t="s">
        <v>13</v>
      </c>
      <c r="D84" s="9">
        <f>IF(Main[[#This Row],[Department]]="Management",40,IF(Main[[#This Row],[Department]]="Sales",22,IF(Main[[#This Row],[Department]]="Human Resources",28,IF(Main[[#This Row],[Department]]="Marketing",26,IF(Main[[#This Row],[Department]]="Custodial",26,"Temp")))))</f>
        <v>22</v>
      </c>
      <c r="E84">
        <v>23</v>
      </c>
      <c r="F84" s="9">
        <f>(Main[[#This Row],[$/Hour]]*Main[[#This Row],[Hours/week]])*52</f>
        <v>26312</v>
      </c>
      <c r="G84" s="10">
        <v>110032</v>
      </c>
      <c r="H84" s="10">
        <f>IF(ISNUMBER(Main[[#This Row],[Sales]]),Main[[#This Row],[Sales]]*0.03,"-")</f>
        <v>3300.96</v>
      </c>
      <c r="I84">
        <f ca="1">DATEDIF(Main[[#This Row],[Date Hired]],TODAY(),"Y")</f>
        <v>17</v>
      </c>
      <c r="J84" s="9">
        <f ca="1">IF(Main[[#This Row],[Years of Service]]&gt;=30,1000,IF(Main[[#This Row],[Years of Service]]&gt;=25,750,IF(Main[[#This Row],[Years of Service]]&gt;=20,500,IF(Main[[#This Row],[Years of Service]]&gt;=15,300,IF(Main[[#This Row],[Years of Service]]&gt;=10,150,IF(Main[[#This Row],[Years of Service]]&gt;=5,75,0))))))</f>
        <v>300</v>
      </c>
      <c r="K84" s="9">
        <f ca="1">SUM(Main[[#This Row],[Longevity]],Main[[#This Row],[Yearly Salary]],Main[[#This Row],[Commission]])</f>
        <v>29912.959999999999</v>
      </c>
      <c r="L84" s="9" t="s">
        <v>35</v>
      </c>
      <c r="M84" s="11">
        <v>37029</v>
      </c>
      <c r="N84" s="12">
        <v>2032872641</v>
      </c>
      <c r="O84" s="13" t="s">
        <v>288</v>
      </c>
      <c r="P84" s="14" t="s">
        <v>289</v>
      </c>
      <c r="Q84" t="s">
        <v>50</v>
      </c>
      <c r="R84" s="16">
        <v>6410</v>
      </c>
      <c r="S84" s="12">
        <v>8798752235</v>
      </c>
      <c r="T84">
        <v>38</v>
      </c>
    </row>
    <row r="85" spans="1:20" x14ac:dyDescent="0.25">
      <c r="A85" s="8">
        <v>84</v>
      </c>
      <c r="B85" t="s">
        <v>290</v>
      </c>
      <c r="C85" t="s">
        <v>13</v>
      </c>
      <c r="D85" s="9">
        <f>IF(Main[[#This Row],[Department]]="Management",40,IF(Main[[#This Row],[Department]]="Sales",22,IF(Main[[#This Row],[Department]]="Human Resources",28,IF(Main[[#This Row],[Department]]="Marketing",26,IF(Main[[#This Row],[Department]]="Custodial",26,"Temp")))))</f>
        <v>22</v>
      </c>
      <c r="E85">
        <v>15</v>
      </c>
      <c r="F85" s="9">
        <f>(Main[[#This Row],[$/Hour]]*Main[[#This Row],[Hours/week]])*52</f>
        <v>17160</v>
      </c>
      <c r="G85" s="10">
        <v>74100</v>
      </c>
      <c r="H85" s="10">
        <f>IF(ISNUMBER(Main[[#This Row],[Sales]]),Main[[#This Row],[Sales]]*0.03,"-")</f>
        <v>2223</v>
      </c>
      <c r="I85">
        <f ca="1">DATEDIF(Main[[#This Row],[Date Hired]],TODAY(),"Y")</f>
        <v>26</v>
      </c>
      <c r="J85" s="9">
        <f ca="1">IF(Main[[#This Row],[Years of Service]]&gt;=30,1000,IF(Main[[#This Row],[Years of Service]]&gt;=25,750,IF(Main[[#This Row],[Years of Service]]&gt;=20,500,IF(Main[[#This Row],[Years of Service]]&gt;=15,300,IF(Main[[#This Row],[Years of Service]]&gt;=10,150,IF(Main[[#This Row],[Years of Service]]&gt;=5,75,0))))))</f>
        <v>750</v>
      </c>
      <c r="K85" s="9">
        <f ca="1">SUM(Main[[#This Row],[Longevity]],Main[[#This Row],[Yearly Salary]],Main[[#This Row],[Commission]])</f>
        <v>20133</v>
      </c>
      <c r="L85" s="9" t="s">
        <v>35</v>
      </c>
      <c r="M85" s="11">
        <v>33970</v>
      </c>
      <c r="N85" s="12">
        <v>2032872631</v>
      </c>
      <c r="O85" s="13" t="s">
        <v>291</v>
      </c>
      <c r="P85" s="14" t="s">
        <v>292</v>
      </c>
      <c r="Q85" t="s">
        <v>38</v>
      </c>
      <c r="R85" s="16">
        <v>6494</v>
      </c>
      <c r="S85" s="12">
        <v>2034498898</v>
      </c>
      <c r="T85">
        <v>53</v>
      </c>
    </row>
    <row r="86" spans="1:20" x14ac:dyDescent="0.25">
      <c r="A86" s="8">
        <v>85</v>
      </c>
      <c r="B86" t="s">
        <v>293</v>
      </c>
      <c r="C86" t="s">
        <v>62</v>
      </c>
      <c r="D86" s="9">
        <f>IF(Main[[#This Row],[Department]]="Management",40,IF(Main[[#This Row],[Department]]="Sales",22,IF(Main[[#This Row],[Department]]="Human Resources",28,IF(Main[[#This Row],[Department]]="Marketing",26,IF(Main[[#This Row],[Department]]="Custodial",26,"Temp")))))</f>
        <v>26</v>
      </c>
      <c r="E86">
        <v>23</v>
      </c>
      <c r="F86" s="9">
        <f>(Main[[#This Row],[$/Hour]]*Main[[#This Row],[Hours/week]])*52</f>
        <v>31096</v>
      </c>
      <c r="G86" s="10" t="s">
        <v>29</v>
      </c>
      <c r="H86" s="10" t="str">
        <f>IF(ISNUMBER(Main[[#This Row],[Sales]]),Main[[#This Row],[Sales]]*0.03,"-")</f>
        <v>-</v>
      </c>
      <c r="I86">
        <f ca="1">DATEDIF(Main[[#This Row],[Date Hired]],TODAY(),"Y")</f>
        <v>20</v>
      </c>
      <c r="J86" s="9">
        <f ca="1">IF(Main[[#This Row],[Years of Service]]&gt;=30,1000,IF(Main[[#This Row],[Years of Service]]&gt;=25,750,IF(Main[[#This Row],[Years of Service]]&gt;=20,500,IF(Main[[#This Row],[Years of Service]]&gt;=15,300,IF(Main[[#This Row],[Years of Service]]&gt;=10,150,IF(Main[[#This Row],[Years of Service]]&gt;=5,75,0))))))</f>
        <v>500</v>
      </c>
      <c r="K86" s="9">
        <f ca="1">SUM(Main[[#This Row],[Longevity]],Main[[#This Row],[Yearly Salary]],Main[[#This Row],[Commission]])</f>
        <v>31596</v>
      </c>
      <c r="L86" s="9" t="s">
        <v>35</v>
      </c>
      <c r="M86" s="11">
        <v>36022</v>
      </c>
      <c r="N86" s="12">
        <v>2032872686</v>
      </c>
      <c r="O86" s="13" t="s">
        <v>294</v>
      </c>
      <c r="P86" s="14" t="s">
        <v>295</v>
      </c>
      <c r="Q86" t="s">
        <v>42</v>
      </c>
      <c r="R86" s="16">
        <v>6517</v>
      </c>
      <c r="S86" s="12">
        <v>2039684522</v>
      </c>
      <c r="T86">
        <v>56</v>
      </c>
    </row>
    <row r="87" spans="1:20" x14ac:dyDescent="0.25">
      <c r="A87" s="8">
        <v>86</v>
      </c>
      <c r="B87" t="s">
        <v>296</v>
      </c>
      <c r="C87" t="s">
        <v>13</v>
      </c>
      <c r="D87" s="9">
        <f>IF(Main[[#This Row],[Department]]="Management",40,IF(Main[[#This Row],[Department]]="Sales",22,IF(Main[[#This Row],[Department]]="Human Resources",28,IF(Main[[#This Row],[Department]]="Marketing",26,IF(Main[[#This Row],[Department]]="Custodial",26,"Temp")))))</f>
        <v>22</v>
      </c>
      <c r="E87">
        <v>35</v>
      </c>
      <c r="F87" s="9">
        <f>(Main[[#This Row],[$/Hour]]*Main[[#This Row],[Hours/week]])*52</f>
        <v>40040</v>
      </c>
      <c r="G87" s="10">
        <v>70980</v>
      </c>
      <c r="H87" s="10">
        <f>IF(ISNUMBER(Main[[#This Row],[Sales]]),Main[[#This Row],[Sales]]*0.03,"-")</f>
        <v>2129.4</v>
      </c>
      <c r="I87">
        <f ca="1">DATEDIF(Main[[#This Row],[Date Hired]],TODAY(),"Y")</f>
        <v>7</v>
      </c>
      <c r="J87" s="9">
        <f ca="1">IF(Main[[#This Row],[Years of Service]]&gt;=30,1000,IF(Main[[#This Row],[Years of Service]]&gt;=25,750,IF(Main[[#This Row],[Years of Service]]&gt;=20,500,IF(Main[[#This Row],[Years of Service]]&gt;=15,300,IF(Main[[#This Row],[Years of Service]]&gt;=10,150,IF(Main[[#This Row],[Years of Service]]&gt;=5,75,0))))))</f>
        <v>75</v>
      </c>
      <c r="K87" s="9">
        <f ca="1">SUM(Main[[#This Row],[Longevity]],Main[[#This Row],[Yearly Salary]],Main[[#This Row],[Commission]])</f>
        <v>42244.4</v>
      </c>
      <c r="L87" s="9" t="s">
        <v>30</v>
      </c>
      <c r="M87" s="11">
        <v>40776</v>
      </c>
      <c r="N87" s="12">
        <v>2032872336</v>
      </c>
      <c r="O87" s="13" t="s">
        <v>297</v>
      </c>
      <c r="P87" s="14" t="s">
        <v>298</v>
      </c>
      <c r="Q87" t="s">
        <v>81</v>
      </c>
      <c r="R87" s="16">
        <v>6519</v>
      </c>
      <c r="S87" s="12">
        <v>2034814298</v>
      </c>
      <c r="T87">
        <v>37</v>
      </c>
    </row>
    <row r="88" spans="1:20" x14ac:dyDescent="0.25">
      <c r="A88" s="8">
        <v>87</v>
      </c>
      <c r="B88" t="s">
        <v>299</v>
      </c>
      <c r="C88" t="s">
        <v>78</v>
      </c>
      <c r="D88" s="9">
        <f>IF(Main[[#This Row],[Department]]="Management",40,IF(Main[[#This Row],[Department]]="Sales",22,IF(Main[[#This Row],[Department]]="Human Resources",28,IF(Main[[#This Row],[Department]]="Marketing",26,IF(Main[[#This Row],[Department]]="Custodial",26,"Temp")))))</f>
        <v>26</v>
      </c>
      <c r="E88">
        <v>35</v>
      </c>
      <c r="F88" s="9">
        <f>(Main[[#This Row],[$/Hour]]*Main[[#This Row],[Hours/week]])*52</f>
        <v>47320</v>
      </c>
      <c r="G88" s="10" t="s">
        <v>29</v>
      </c>
      <c r="H88" s="10" t="str">
        <f>IF(ISNUMBER(Main[[#This Row],[Sales]]),Main[[#This Row],[Sales]]*0.03,"-")</f>
        <v>-</v>
      </c>
      <c r="I88">
        <f ca="1">DATEDIF(Main[[#This Row],[Date Hired]],TODAY(),"Y")</f>
        <v>8</v>
      </c>
      <c r="J88" s="9">
        <f ca="1">IF(Main[[#This Row],[Years of Service]]&gt;=30,1000,IF(Main[[#This Row],[Years of Service]]&gt;=25,750,IF(Main[[#This Row],[Years of Service]]&gt;=20,500,IF(Main[[#This Row],[Years of Service]]&gt;=15,300,IF(Main[[#This Row],[Years of Service]]&gt;=10,150,IF(Main[[#This Row],[Years of Service]]&gt;=5,75,0))))))</f>
        <v>75</v>
      </c>
      <c r="K88" s="9">
        <f ca="1">SUM(Main[[#This Row],[Longevity]],Main[[#This Row],[Yearly Salary]],Main[[#This Row],[Commission]])</f>
        <v>47395</v>
      </c>
      <c r="L88" s="9" t="s">
        <v>35</v>
      </c>
      <c r="M88" s="11">
        <v>40335</v>
      </c>
      <c r="N88" s="12">
        <v>2032872330</v>
      </c>
      <c r="O88" s="13" t="s">
        <v>300</v>
      </c>
      <c r="P88" s="14" t="s">
        <v>301</v>
      </c>
      <c r="Q88" t="s">
        <v>42</v>
      </c>
      <c r="R88" s="16">
        <v>6518</v>
      </c>
      <c r="S88" s="12">
        <v>2033205424</v>
      </c>
      <c r="T88">
        <v>28</v>
      </c>
    </row>
    <row r="89" spans="1:20" x14ac:dyDescent="0.25">
      <c r="A89" s="8">
        <v>88</v>
      </c>
      <c r="B89" t="s">
        <v>302</v>
      </c>
      <c r="C89" t="s">
        <v>13</v>
      </c>
      <c r="D89" s="9">
        <f>IF(Main[[#This Row],[Department]]="Management",40,IF(Main[[#This Row],[Department]]="Sales",22,IF(Main[[#This Row],[Department]]="Human Resources",28,IF(Main[[#This Row],[Department]]="Marketing",26,IF(Main[[#This Row],[Department]]="Custodial",26,"Temp")))))</f>
        <v>22</v>
      </c>
      <c r="E89">
        <v>35</v>
      </c>
      <c r="F89" s="9">
        <f>(Main[[#This Row],[$/Hour]]*Main[[#This Row],[Hours/week]])*52</f>
        <v>40040</v>
      </c>
      <c r="G89" s="10">
        <v>103740</v>
      </c>
      <c r="H89" s="10">
        <f>IF(ISNUMBER(Main[[#This Row],[Sales]]),Main[[#This Row],[Sales]]*0.03,"-")</f>
        <v>3112.2</v>
      </c>
      <c r="I89">
        <f ca="1">DATEDIF(Main[[#This Row],[Date Hired]],TODAY(),"Y")</f>
        <v>33</v>
      </c>
      <c r="J89" s="9">
        <f ca="1">IF(Main[[#This Row],[Years of Service]]&gt;=30,1000,IF(Main[[#This Row],[Years of Service]]&gt;=25,750,IF(Main[[#This Row],[Years of Service]]&gt;=20,500,IF(Main[[#This Row],[Years of Service]]&gt;=15,300,IF(Main[[#This Row],[Years of Service]]&gt;=10,150,IF(Main[[#This Row],[Years of Service]]&gt;=5,75,0))))))</f>
        <v>1000</v>
      </c>
      <c r="K89" s="9">
        <f ca="1">SUM(Main[[#This Row],[Longevity]],Main[[#This Row],[Yearly Salary]],Main[[#This Row],[Commission]])</f>
        <v>44152.2</v>
      </c>
      <c r="L89" s="9" t="s">
        <v>35</v>
      </c>
      <c r="M89" s="11">
        <v>31276</v>
      </c>
      <c r="N89" s="12">
        <v>2032872370</v>
      </c>
      <c r="O89" s="13" t="s">
        <v>303</v>
      </c>
      <c r="P89" s="14" t="s">
        <v>304</v>
      </c>
      <c r="Q89" t="s">
        <v>42</v>
      </c>
      <c r="R89" s="16">
        <v>6518</v>
      </c>
      <c r="S89" s="12">
        <v>2033534448</v>
      </c>
      <c r="T89">
        <v>59</v>
      </c>
    </row>
    <row r="90" spans="1:20" x14ac:dyDescent="0.25">
      <c r="A90" s="8">
        <v>89</v>
      </c>
      <c r="B90" t="s">
        <v>305</v>
      </c>
      <c r="C90" t="s">
        <v>13</v>
      </c>
      <c r="D90" s="9">
        <f>IF(Main[[#This Row],[Department]]="Management",40,IF(Main[[#This Row],[Department]]="Sales",22,IF(Main[[#This Row],[Department]]="Human Resources",28,IF(Main[[#This Row],[Department]]="Marketing",26,IF(Main[[#This Row],[Department]]="Custodial",26,"Temp")))))</f>
        <v>22</v>
      </c>
      <c r="E90">
        <v>35</v>
      </c>
      <c r="F90" s="9">
        <f>(Main[[#This Row],[$/Hour]]*Main[[#This Row],[Hours/week]])*52</f>
        <v>40040</v>
      </c>
      <c r="G90" s="10">
        <v>81900</v>
      </c>
      <c r="H90" s="10">
        <f>IF(ISNUMBER(Main[[#This Row],[Sales]]),Main[[#This Row],[Sales]]*0.03,"-")</f>
        <v>2457</v>
      </c>
      <c r="I90">
        <f ca="1">DATEDIF(Main[[#This Row],[Date Hired]],TODAY(),"Y")</f>
        <v>7</v>
      </c>
      <c r="J90" s="9">
        <f ca="1">IF(Main[[#This Row],[Years of Service]]&gt;=30,1000,IF(Main[[#This Row],[Years of Service]]&gt;=25,750,IF(Main[[#This Row],[Years of Service]]&gt;=20,500,IF(Main[[#This Row],[Years of Service]]&gt;=15,300,IF(Main[[#This Row],[Years of Service]]&gt;=10,150,IF(Main[[#This Row],[Years of Service]]&gt;=5,75,0))))))</f>
        <v>75</v>
      </c>
      <c r="K90" s="9">
        <f ca="1">SUM(Main[[#This Row],[Longevity]],Main[[#This Row],[Yearly Salary]],Main[[#This Row],[Commission]])</f>
        <v>42572</v>
      </c>
      <c r="L90" s="9" t="s">
        <v>30</v>
      </c>
      <c r="M90" s="11">
        <v>40822</v>
      </c>
      <c r="N90" s="12">
        <v>2032872647</v>
      </c>
      <c r="O90" s="13" t="s">
        <v>306</v>
      </c>
      <c r="P90" s="14" t="s">
        <v>307</v>
      </c>
      <c r="Q90" t="s">
        <v>88</v>
      </c>
      <c r="R90" s="16">
        <v>6524</v>
      </c>
      <c r="S90" s="12">
        <v>2036902852</v>
      </c>
      <c r="T90">
        <v>28</v>
      </c>
    </row>
    <row r="91" spans="1:20" x14ac:dyDescent="0.25">
      <c r="A91" s="8">
        <v>90</v>
      </c>
      <c r="B91" t="s">
        <v>308</v>
      </c>
      <c r="C91" t="s">
        <v>13</v>
      </c>
      <c r="D91" s="9">
        <f>IF(Main[[#This Row],[Department]]="Management",40,IF(Main[[#This Row],[Department]]="Sales",22,IF(Main[[#This Row],[Department]]="Human Resources",28,IF(Main[[#This Row],[Department]]="Marketing",26,IF(Main[[#This Row],[Department]]="Custodial",26,"Temp")))))</f>
        <v>22</v>
      </c>
      <c r="E91">
        <v>15</v>
      </c>
      <c r="F91" s="9">
        <f>(Main[[#This Row],[$/Hour]]*Main[[#This Row],[Hours/week]])*52</f>
        <v>17160</v>
      </c>
      <c r="G91" s="10">
        <v>41340</v>
      </c>
      <c r="H91" s="10">
        <f>IF(ISNUMBER(Main[[#This Row],[Sales]]),Main[[#This Row],[Sales]]*0.03,"-")</f>
        <v>1240.2</v>
      </c>
      <c r="I91">
        <f ca="1">DATEDIF(Main[[#This Row],[Date Hired]],TODAY(),"Y")</f>
        <v>31</v>
      </c>
      <c r="J91" s="9">
        <f ca="1">IF(Main[[#This Row],[Years of Service]]&gt;=30,1000,IF(Main[[#This Row],[Years of Service]]&gt;=25,750,IF(Main[[#This Row],[Years of Service]]&gt;=20,500,IF(Main[[#This Row],[Years of Service]]&gt;=15,300,IF(Main[[#This Row],[Years of Service]]&gt;=10,150,IF(Main[[#This Row],[Years of Service]]&gt;=5,75,0))))))</f>
        <v>1000</v>
      </c>
      <c r="K91" s="9">
        <f ca="1">SUM(Main[[#This Row],[Longevity]],Main[[#This Row],[Yearly Salary]],Main[[#This Row],[Commission]])</f>
        <v>19400.2</v>
      </c>
      <c r="L91" s="9" t="s">
        <v>35</v>
      </c>
      <c r="M91" s="11">
        <v>32067</v>
      </c>
      <c r="N91" s="12">
        <v>2032872661</v>
      </c>
      <c r="O91" s="13" t="s">
        <v>309</v>
      </c>
      <c r="P91" s="14" t="s">
        <v>310</v>
      </c>
      <c r="Q91" t="s">
        <v>38</v>
      </c>
      <c r="R91" s="16">
        <v>6495</v>
      </c>
      <c r="S91" s="12">
        <v>2032878930</v>
      </c>
      <c r="T91">
        <v>55</v>
      </c>
    </row>
    <row r="92" spans="1:20" x14ac:dyDescent="0.25">
      <c r="A92" s="8">
        <v>91</v>
      </c>
      <c r="B92" t="s">
        <v>311</v>
      </c>
      <c r="C92" t="s">
        <v>78</v>
      </c>
      <c r="D92" s="9">
        <f>IF(Main[[#This Row],[Department]]="Management",40,IF(Main[[#This Row],[Department]]="Sales",22,IF(Main[[#This Row],[Department]]="Human Resources",28,IF(Main[[#This Row],[Department]]="Marketing",26,IF(Main[[#This Row],[Department]]="Custodial",26,"Temp")))))</f>
        <v>26</v>
      </c>
      <c r="E92">
        <v>19.5</v>
      </c>
      <c r="F92" s="9">
        <f>(Main[[#This Row],[$/Hour]]*Main[[#This Row],[Hours/week]])*52</f>
        <v>26364</v>
      </c>
      <c r="G92" s="10" t="s">
        <v>312</v>
      </c>
      <c r="H92" s="10" t="str">
        <f>IF(ISNUMBER(Main[[#This Row],[Sales]]),Main[[#This Row],[Sales]]*0.03,"-")</f>
        <v>-</v>
      </c>
      <c r="I92">
        <f ca="1">DATEDIF(Main[[#This Row],[Date Hired]],TODAY(),"Y")</f>
        <v>13</v>
      </c>
      <c r="J92" s="9">
        <f ca="1">IF(Main[[#This Row],[Years of Service]]&gt;=30,1000,IF(Main[[#This Row],[Years of Service]]&gt;=25,750,IF(Main[[#This Row],[Years of Service]]&gt;=20,500,IF(Main[[#This Row],[Years of Service]]&gt;=15,300,IF(Main[[#This Row],[Years of Service]]&gt;=10,150,IF(Main[[#This Row],[Years of Service]]&gt;=5,75,0))))))</f>
        <v>150</v>
      </c>
      <c r="K92" s="9">
        <f ca="1">SUM(Main[[#This Row],[Longevity]],Main[[#This Row],[Yearly Salary]],Main[[#This Row],[Commission]])</f>
        <v>26514</v>
      </c>
      <c r="L92" s="9" t="s">
        <v>35</v>
      </c>
      <c r="M92" s="11">
        <v>38751</v>
      </c>
      <c r="N92" s="12">
        <v>2032872364</v>
      </c>
      <c r="O92" s="13" t="s">
        <v>313</v>
      </c>
      <c r="P92" s="14" t="s">
        <v>314</v>
      </c>
      <c r="Q92" t="s">
        <v>81</v>
      </c>
      <c r="R92" s="16">
        <v>6533</v>
      </c>
      <c r="S92" s="12">
        <v>2031073463</v>
      </c>
      <c r="T92">
        <v>43</v>
      </c>
    </row>
    <row r="93" spans="1:20" x14ac:dyDescent="0.25">
      <c r="A93" s="8">
        <v>92</v>
      </c>
      <c r="B93" t="s">
        <v>315</v>
      </c>
      <c r="C93" t="s">
        <v>13</v>
      </c>
      <c r="D93" s="9">
        <f>IF(Main[[#This Row],[Department]]="Management",40,IF(Main[[#This Row],[Department]]="Sales",22,IF(Main[[#This Row],[Department]]="Human Resources",28,IF(Main[[#This Row],[Department]]="Marketing",26,IF(Main[[#This Row],[Department]]="Custodial",26,"Temp")))))</f>
        <v>22</v>
      </c>
      <c r="E93">
        <v>37.5</v>
      </c>
      <c r="F93" s="9">
        <f>(Main[[#This Row],[$/Hour]]*Main[[#This Row],[Hours/week]])*52</f>
        <v>42900</v>
      </c>
      <c r="G93" s="10">
        <v>62400</v>
      </c>
      <c r="H93" s="10">
        <f>IF(ISNUMBER(Main[[#This Row],[Sales]]),Main[[#This Row],[Sales]]*0.03,"-")</f>
        <v>1872</v>
      </c>
      <c r="I93">
        <f ca="1">DATEDIF(Main[[#This Row],[Date Hired]],TODAY(),"Y")</f>
        <v>2</v>
      </c>
      <c r="J93" s="9">
        <f ca="1">IF(Main[[#This Row],[Years of Service]]&gt;=30,1000,IF(Main[[#This Row],[Years of Service]]&gt;=25,750,IF(Main[[#This Row],[Years of Service]]&gt;=20,500,IF(Main[[#This Row],[Years of Service]]&gt;=15,300,IF(Main[[#This Row],[Years of Service]]&gt;=10,150,IF(Main[[#This Row],[Years of Service]]&gt;=5,75,0))))))</f>
        <v>0</v>
      </c>
      <c r="K93" s="9">
        <f ca="1">SUM(Main[[#This Row],[Longevity]],Main[[#This Row],[Yearly Salary]],Main[[#This Row],[Commission]])</f>
        <v>44772</v>
      </c>
      <c r="L93" s="9" t="s">
        <v>35</v>
      </c>
      <c r="M93" s="11">
        <v>42520</v>
      </c>
      <c r="N93" s="12">
        <v>2032872348</v>
      </c>
      <c r="O93" s="13" t="s">
        <v>316</v>
      </c>
      <c r="P93" s="14" t="s">
        <v>317</v>
      </c>
      <c r="Q93" t="s">
        <v>42</v>
      </c>
      <c r="R93" s="16">
        <v>6514</v>
      </c>
      <c r="S93" s="12">
        <v>2038421656</v>
      </c>
      <c r="T93">
        <v>20</v>
      </c>
    </row>
    <row r="94" spans="1:20" x14ac:dyDescent="0.25">
      <c r="A94" s="8">
        <v>93</v>
      </c>
      <c r="B94" t="s">
        <v>318</v>
      </c>
      <c r="C94" t="s">
        <v>62</v>
      </c>
      <c r="D94" s="9">
        <f>IF(Main[[#This Row],[Department]]="Management",40,IF(Main[[#This Row],[Department]]="Sales",22,IF(Main[[#This Row],[Department]]="Human Resources",28,IF(Main[[#This Row],[Department]]="Marketing",26,IF(Main[[#This Row],[Department]]="Custodial",26,"Temp")))))</f>
        <v>26</v>
      </c>
      <c r="E94">
        <v>19.5</v>
      </c>
      <c r="F94" s="9">
        <f>(Main[[#This Row],[$/Hour]]*Main[[#This Row],[Hours/week]])*52</f>
        <v>26364</v>
      </c>
      <c r="G94" s="10" t="s">
        <v>312</v>
      </c>
      <c r="H94" s="10" t="str">
        <f>IF(ISNUMBER(Main[[#This Row],[Sales]]),Main[[#This Row],[Sales]]*0.03,"-")</f>
        <v>-</v>
      </c>
      <c r="I94">
        <f ca="1">DATEDIF(Main[[#This Row],[Date Hired]],TODAY(),"Y")</f>
        <v>5</v>
      </c>
      <c r="J94" s="9">
        <f ca="1">IF(Main[[#This Row],[Years of Service]]&gt;=30,1000,IF(Main[[#This Row],[Years of Service]]&gt;=25,750,IF(Main[[#This Row],[Years of Service]]&gt;=20,500,IF(Main[[#This Row],[Years of Service]]&gt;=15,300,IF(Main[[#This Row],[Years of Service]]&gt;=10,150,IF(Main[[#This Row],[Years of Service]]&gt;=5,75,0))))))</f>
        <v>75</v>
      </c>
      <c r="K94" s="9">
        <f ca="1">SUM(Main[[#This Row],[Longevity]],Main[[#This Row],[Yearly Salary]],Main[[#This Row],[Commission]])</f>
        <v>26439</v>
      </c>
      <c r="L94" s="9" t="s">
        <v>35</v>
      </c>
      <c r="M94" s="11">
        <v>41368</v>
      </c>
      <c r="N94" s="12">
        <v>2032872644</v>
      </c>
      <c r="O94" s="13" t="s">
        <v>319</v>
      </c>
      <c r="P94" s="14" t="s">
        <v>320</v>
      </c>
      <c r="Q94" t="s">
        <v>50</v>
      </c>
      <c r="R94" s="16">
        <v>6410</v>
      </c>
      <c r="S94" s="12">
        <v>2039178864</v>
      </c>
      <c r="T94">
        <v>41</v>
      </c>
    </row>
    <row r="95" spans="1:20" x14ac:dyDescent="0.25">
      <c r="A95" s="8">
        <v>94</v>
      </c>
      <c r="B95" t="s">
        <v>321</v>
      </c>
      <c r="C95" t="s">
        <v>13</v>
      </c>
      <c r="D95" s="9">
        <f>IF(Main[[#This Row],[Department]]="Management",40,IF(Main[[#This Row],[Department]]="Sales",22,IF(Main[[#This Row],[Department]]="Human Resources",28,IF(Main[[#This Row],[Department]]="Marketing",26,IF(Main[[#This Row],[Department]]="Custodial",26,"Temp")))))</f>
        <v>22</v>
      </c>
      <c r="E95">
        <v>19.5</v>
      </c>
      <c r="F95" s="9">
        <f>(Main[[#This Row],[$/Hour]]*Main[[#This Row],[Hours/week]])*52</f>
        <v>22308</v>
      </c>
      <c r="G95" s="10">
        <v>58812</v>
      </c>
      <c r="H95" s="10">
        <f>IF(ISNUMBER(Main[[#This Row],[Sales]]),Main[[#This Row],[Sales]]*0.03,"-")</f>
        <v>1764.36</v>
      </c>
      <c r="I95">
        <f ca="1">DATEDIF(Main[[#This Row],[Date Hired]],TODAY(),"Y")</f>
        <v>10</v>
      </c>
      <c r="J95" s="9">
        <f ca="1">IF(Main[[#This Row],[Years of Service]]&gt;=30,1000,IF(Main[[#This Row],[Years of Service]]&gt;=25,750,IF(Main[[#This Row],[Years of Service]]&gt;=20,500,IF(Main[[#This Row],[Years of Service]]&gt;=15,300,IF(Main[[#This Row],[Years of Service]]&gt;=10,150,IF(Main[[#This Row],[Years of Service]]&gt;=5,75,0))))))</f>
        <v>150</v>
      </c>
      <c r="K95" s="9">
        <f ca="1">SUM(Main[[#This Row],[Longevity]],Main[[#This Row],[Yearly Salary]],Main[[#This Row],[Commission]])</f>
        <v>24222.36</v>
      </c>
      <c r="L95" s="9" t="s">
        <v>35</v>
      </c>
      <c r="M95" s="11">
        <v>39674</v>
      </c>
      <c r="N95" s="12">
        <v>2032872683</v>
      </c>
      <c r="O95" s="13" t="s">
        <v>322</v>
      </c>
      <c r="P95" s="14" t="s">
        <v>323</v>
      </c>
      <c r="Q95" t="s">
        <v>42</v>
      </c>
      <c r="R95" s="16">
        <v>6517</v>
      </c>
      <c r="S95" s="12">
        <v>2036159302</v>
      </c>
      <c r="T95">
        <v>43</v>
      </c>
    </row>
    <row r="96" spans="1:20" x14ac:dyDescent="0.25">
      <c r="A96" s="8">
        <v>95</v>
      </c>
      <c r="B96" t="s">
        <v>324</v>
      </c>
      <c r="C96" t="s">
        <v>13</v>
      </c>
      <c r="D96" s="9">
        <f>IF(Main[[#This Row],[Department]]="Management",40,IF(Main[[#This Row],[Department]]="Sales",22,IF(Main[[#This Row],[Department]]="Human Resources",28,IF(Main[[#This Row],[Department]]="Marketing",26,IF(Main[[#This Row],[Department]]="Custodial",26,"Temp")))))</f>
        <v>22</v>
      </c>
      <c r="E96">
        <v>15</v>
      </c>
      <c r="F96" s="9">
        <f>(Main[[#This Row],[$/Hour]]*Main[[#This Row],[Hours/week]])*52</f>
        <v>17160</v>
      </c>
      <c r="G96" s="10">
        <v>20280</v>
      </c>
      <c r="H96" s="10">
        <f>IF(ISNUMBER(Main[[#This Row],[Sales]]),Main[[#This Row],[Sales]]*0.03,"-")</f>
        <v>608.4</v>
      </c>
      <c r="I96">
        <f ca="1">DATEDIF(Main[[#This Row],[Date Hired]],TODAY(),"Y")</f>
        <v>8</v>
      </c>
      <c r="J96" s="9">
        <f ca="1">IF(Main[[#This Row],[Years of Service]]&gt;=30,1000,IF(Main[[#This Row],[Years of Service]]&gt;=25,750,IF(Main[[#This Row],[Years of Service]]&gt;=20,500,IF(Main[[#This Row],[Years of Service]]&gt;=15,300,IF(Main[[#This Row],[Years of Service]]&gt;=10,150,IF(Main[[#This Row],[Years of Service]]&gt;=5,75,0))))))</f>
        <v>75</v>
      </c>
      <c r="K96" s="9">
        <f ca="1">SUM(Main[[#This Row],[Longevity]],Main[[#This Row],[Yearly Salary]],Main[[#This Row],[Commission]])</f>
        <v>17843.400000000001</v>
      </c>
      <c r="L96" s="9" t="s">
        <v>30</v>
      </c>
      <c r="M96" s="11">
        <v>40474</v>
      </c>
      <c r="N96" s="12">
        <v>2032872621</v>
      </c>
      <c r="O96" s="13" t="s">
        <v>325</v>
      </c>
      <c r="P96" s="14" t="s">
        <v>326</v>
      </c>
      <c r="Q96" t="s">
        <v>33</v>
      </c>
      <c r="R96" s="16">
        <v>6473</v>
      </c>
      <c r="S96" s="12">
        <v>2038137992</v>
      </c>
      <c r="T96">
        <v>29</v>
      </c>
    </row>
    <row r="97" spans="1:20" x14ac:dyDescent="0.25">
      <c r="A97" s="8">
        <v>96</v>
      </c>
      <c r="B97" t="s">
        <v>327</v>
      </c>
      <c r="C97" t="s">
        <v>13</v>
      </c>
      <c r="D97" s="9">
        <f>IF(Main[[#This Row],[Department]]="Management",40,IF(Main[[#This Row],[Department]]="Sales",22,IF(Main[[#This Row],[Department]]="Human Resources",28,IF(Main[[#This Row],[Department]]="Marketing",26,IF(Main[[#This Row],[Department]]="Custodial",26,"Temp")))))</f>
        <v>22</v>
      </c>
      <c r="E97">
        <v>19.5</v>
      </c>
      <c r="F97" s="9">
        <f>(Main[[#This Row],[$/Hour]]*Main[[#This Row],[Hours/week]])*52</f>
        <v>22308</v>
      </c>
      <c r="G97" s="10">
        <v>99372</v>
      </c>
      <c r="H97" s="10">
        <f>IF(ISNUMBER(Main[[#This Row],[Sales]]),Main[[#This Row],[Sales]]*0.03,"-")</f>
        <v>2981.16</v>
      </c>
      <c r="I97">
        <f ca="1">DATEDIF(Main[[#This Row],[Date Hired]],TODAY(),"Y")</f>
        <v>14</v>
      </c>
      <c r="J97" s="9">
        <f ca="1">IF(Main[[#This Row],[Years of Service]]&gt;=30,1000,IF(Main[[#This Row],[Years of Service]]&gt;=25,750,IF(Main[[#This Row],[Years of Service]]&gt;=20,500,IF(Main[[#This Row],[Years of Service]]&gt;=15,300,IF(Main[[#This Row],[Years of Service]]&gt;=10,150,IF(Main[[#This Row],[Years of Service]]&gt;=5,75,0))))))</f>
        <v>150</v>
      </c>
      <c r="K97" s="9">
        <f ca="1">SUM(Main[[#This Row],[Longevity]],Main[[#This Row],[Yearly Salary]],Main[[#This Row],[Commission]])</f>
        <v>25439.16</v>
      </c>
      <c r="L97" s="9" t="s">
        <v>35</v>
      </c>
      <c r="M97" s="11">
        <v>38337</v>
      </c>
      <c r="N97" s="12">
        <v>2032872666</v>
      </c>
      <c r="O97" s="13" t="s">
        <v>328</v>
      </c>
      <c r="P97" s="14" t="s">
        <v>329</v>
      </c>
      <c r="Q97" t="s">
        <v>42</v>
      </c>
      <c r="R97" s="16">
        <v>6518</v>
      </c>
      <c r="S97" s="12">
        <v>2036483461</v>
      </c>
      <c r="T97">
        <v>37</v>
      </c>
    </row>
    <row r="98" spans="1:20" x14ac:dyDescent="0.25">
      <c r="A98" s="8">
        <v>97</v>
      </c>
      <c r="B98" t="s">
        <v>330</v>
      </c>
      <c r="C98" t="s">
        <v>62</v>
      </c>
      <c r="D98" s="9">
        <f>IF(Main[[#This Row],[Department]]="Management",40,IF(Main[[#This Row],[Department]]="Sales",22,IF(Main[[#This Row],[Department]]="Human Resources",28,IF(Main[[#This Row],[Department]]="Marketing",26,IF(Main[[#This Row],[Department]]="Custodial",26,"Temp")))))</f>
        <v>26</v>
      </c>
      <c r="E98">
        <v>35</v>
      </c>
      <c r="F98" s="9">
        <f>(Main[[#This Row],[$/Hour]]*Main[[#This Row],[Hours/week]])*52</f>
        <v>47320</v>
      </c>
      <c r="G98" s="10" t="s">
        <v>312</v>
      </c>
      <c r="H98" s="10" t="str">
        <f>IF(ISNUMBER(Main[[#This Row],[Sales]]),Main[[#This Row],[Sales]]*0.03,"-")</f>
        <v>-</v>
      </c>
      <c r="I98">
        <f ca="1">DATEDIF(Main[[#This Row],[Date Hired]],TODAY(),"Y")</f>
        <v>32</v>
      </c>
      <c r="J98" s="9">
        <f ca="1">IF(Main[[#This Row],[Years of Service]]&gt;=30,1000,IF(Main[[#This Row],[Years of Service]]&gt;=25,750,IF(Main[[#This Row],[Years of Service]]&gt;=20,500,IF(Main[[#This Row],[Years of Service]]&gt;=15,300,IF(Main[[#This Row],[Years of Service]]&gt;=10,150,IF(Main[[#This Row],[Years of Service]]&gt;=5,75,0))))))</f>
        <v>1000</v>
      </c>
      <c r="K98" s="9">
        <f ca="1">SUM(Main[[#This Row],[Longevity]],Main[[#This Row],[Yearly Salary]],Main[[#This Row],[Commission]])</f>
        <v>48320</v>
      </c>
      <c r="L98" s="9" t="s">
        <v>35</v>
      </c>
      <c r="M98" s="11">
        <v>31690</v>
      </c>
      <c r="N98" s="12">
        <v>2032872395</v>
      </c>
      <c r="O98" s="13" t="s">
        <v>331</v>
      </c>
      <c r="P98" s="14" t="s">
        <v>332</v>
      </c>
      <c r="Q98" t="s">
        <v>38</v>
      </c>
      <c r="R98" s="16">
        <v>6492</v>
      </c>
      <c r="S98" s="12">
        <v>2037615341</v>
      </c>
      <c r="T98">
        <v>67</v>
      </c>
    </row>
    <row r="99" spans="1:20" x14ac:dyDescent="0.25">
      <c r="A99" s="8">
        <v>98</v>
      </c>
      <c r="B99" t="s">
        <v>333</v>
      </c>
      <c r="C99" t="s">
        <v>13</v>
      </c>
      <c r="D99" s="9">
        <f>IF(Main[[#This Row],[Department]]="Management",40,IF(Main[[#This Row],[Department]]="Sales",22,IF(Main[[#This Row],[Department]]="Human Resources",28,IF(Main[[#This Row],[Department]]="Marketing",26,IF(Main[[#This Row],[Department]]="Custodial",26,"Temp")))))</f>
        <v>22</v>
      </c>
      <c r="E99">
        <v>19.5</v>
      </c>
      <c r="F99" s="9">
        <f>(Main[[#This Row],[$/Hour]]*Main[[#This Row],[Hours/week]])*52</f>
        <v>22308</v>
      </c>
      <c r="G99" s="10">
        <v>53742</v>
      </c>
      <c r="H99" s="10">
        <f>IF(ISNUMBER(Main[[#This Row],[Sales]]),Main[[#This Row],[Sales]]*0.03,"-")</f>
        <v>1612.26</v>
      </c>
      <c r="I99">
        <f ca="1">DATEDIF(Main[[#This Row],[Date Hired]],TODAY(),"Y")</f>
        <v>12</v>
      </c>
      <c r="J99" s="9">
        <f ca="1">IF(Main[[#This Row],[Years of Service]]&gt;=30,1000,IF(Main[[#This Row],[Years of Service]]&gt;=25,750,IF(Main[[#This Row],[Years of Service]]&gt;=20,500,IF(Main[[#This Row],[Years of Service]]&gt;=15,300,IF(Main[[#This Row],[Years of Service]]&gt;=10,150,IF(Main[[#This Row],[Years of Service]]&gt;=5,75,0))))))</f>
        <v>150</v>
      </c>
      <c r="K99" s="9">
        <f ca="1">SUM(Main[[#This Row],[Longevity]],Main[[#This Row],[Yearly Salary]],Main[[#This Row],[Commission]])</f>
        <v>24070.26</v>
      </c>
      <c r="L99" s="9" t="s">
        <v>30</v>
      </c>
      <c r="M99" s="11">
        <v>38969</v>
      </c>
      <c r="N99" s="12">
        <v>2032872640</v>
      </c>
      <c r="O99" s="13" t="s">
        <v>334</v>
      </c>
      <c r="P99" s="14" t="s">
        <v>335</v>
      </c>
      <c r="Q99" t="s">
        <v>33</v>
      </c>
      <c r="R99" s="16">
        <v>6473</v>
      </c>
      <c r="S99" s="12">
        <v>2035509180</v>
      </c>
      <c r="T99">
        <v>39</v>
      </c>
    </row>
    <row r="100" spans="1:20" x14ac:dyDescent="0.25">
      <c r="A100" s="8">
        <v>99</v>
      </c>
      <c r="B100" t="s">
        <v>336</v>
      </c>
      <c r="C100" t="s">
        <v>13</v>
      </c>
      <c r="D100" s="9">
        <f>IF(Main[[#This Row],[Department]]="Management",40,IF(Main[[#This Row],[Department]]="Sales",22,IF(Main[[#This Row],[Department]]="Human Resources",28,IF(Main[[#This Row],[Department]]="Marketing",26,IF(Main[[#This Row],[Department]]="Custodial",26,"Temp")))))</f>
        <v>22</v>
      </c>
      <c r="E100">
        <v>19.5</v>
      </c>
      <c r="F100" s="9">
        <f>(Main[[#This Row],[$/Hour]]*Main[[#This Row],[Hours/week]])*52</f>
        <v>22308</v>
      </c>
      <c r="G100" s="10">
        <v>91260</v>
      </c>
      <c r="H100" s="10">
        <f>IF(ISNUMBER(Main[[#This Row],[Sales]]),Main[[#This Row],[Sales]]*0.03,"-")</f>
        <v>2737.7999999999997</v>
      </c>
      <c r="I100">
        <f ca="1">DATEDIF(Main[[#This Row],[Date Hired]],TODAY(),"Y")</f>
        <v>30</v>
      </c>
      <c r="J100" s="9">
        <f ca="1">IF(Main[[#This Row],[Years of Service]]&gt;=30,1000,IF(Main[[#This Row],[Years of Service]]&gt;=25,750,IF(Main[[#This Row],[Years of Service]]&gt;=20,500,IF(Main[[#This Row],[Years of Service]]&gt;=15,300,IF(Main[[#This Row],[Years of Service]]&gt;=10,150,IF(Main[[#This Row],[Years of Service]]&gt;=5,75,0))))))</f>
        <v>1000</v>
      </c>
      <c r="K100" s="9">
        <f ca="1">SUM(Main[[#This Row],[Longevity]],Main[[#This Row],[Yearly Salary]],Main[[#This Row],[Commission]])</f>
        <v>26045.8</v>
      </c>
      <c r="L100" s="9" t="s">
        <v>35</v>
      </c>
      <c r="M100" s="11">
        <v>32258</v>
      </c>
      <c r="N100" s="12">
        <v>2032872327</v>
      </c>
      <c r="O100" s="13" t="s">
        <v>337</v>
      </c>
      <c r="P100" s="14" t="s">
        <v>338</v>
      </c>
      <c r="Q100" t="s">
        <v>42</v>
      </c>
      <c r="R100" s="16">
        <v>6517</v>
      </c>
      <c r="S100" s="12">
        <v>2035711080</v>
      </c>
      <c r="T100">
        <v>66</v>
      </c>
    </row>
    <row r="101" spans="1:20" x14ac:dyDescent="0.25">
      <c r="A101" s="8">
        <v>100</v>
      </c>
      <c r="B101" t="s">
        <v>339</v>
      </c>
      <c r="C101" t="s">
        <v>62</v>
      </c>
      <c r="D101" s="9">
        <f>IF(Main[[#This Row],[Department]]="Management",40,IF(Main[[#This Row],[Department]]="Sales",22,IF(Main[[#This Row],[Department]]="Human Resources",28,IF(Main[[#This Row],[Department]]="Marketing",26,IF(Main[[#This Row],[Department]]="Custodial",26,"Temp")))))</f>
        <v>26</v>
      </c>
      <c r="E101">
        <v>19.5</v>
      </c>
      <c r="F101" s="9">
        <f>(Main[[#This Row],[$/Hour]]*Main[[#This Row],[Hours/week]])*52</f>
        <v>26364</v>
      </c>
      <c r="G101" s="10" t="s">
        <v>312</v>
      </c>
      <c r="H101" s="10" t="str">
        <f>IF(ISNUMBER(Main[[#This Row],[Sales]]),Main[[#This Row],[Sales]]*0.03,"-")</f>
        <v>-</v>
      </c>
      <c r="I101">
        <f ca="1">DATEDIF(Main[[#This Row],[Date Hired]],TODAY(),"Y")</f>
        <v>9</v>
      </c>
      <c r="J101" s="9">
        <f ca="1">IF(Main[[#This Row],[Years of Service]]&gt;=30,1000,IF(Main[[#This Row],[Years of Service]]&gt;=25,750,IF(Main[[#This Row],[Years of Service]]&gt;=20,500,IF(Main[[#This Row],[Years of Service]]&gt;=15,300,IF(Main[[#This Row],[Years of Service]]&gt;=10,150,IF(Main[[#This Row],[Years of Service]]&gt;=5,75,0))))))</f>
        <v>75</v>
      </c>
      <c r="K101" s="9">
        <f ca="1">SUM(Main[[#This Row],[Longevity]],Main[[#This Row],[Yearly Salary]],Main[[#This Row],[Commission]])</f>
        <v>26439</v>
      </c>
      <c r="L101" s="9" t="s">
        <v>35</v>
      </c>
      <c r="M101" s="11">
        <v>40214</v>
      </c>
      <c r="N101" s="12">
        <v>2032872624</v>
      </c>
      <c r="O101" s="13" t="s">
        <v>340</v>
      </c>
      <c r="P101" s="14" t="s">
        <v>341</v>
      </c>
      <c r="Q101" t="s">
        <v>42</v>
      </c>
      <c r="R101" s="16">
        <v>6518</v>
      </c>
      <c r="S101" s="12">
        <v>2037127888</v>
      </c>
      <c r="T101">
        <v>43</v>
      </c>
    </row>
    <row r="102" spans="1:20" x14ac:dyDescent="0.25">
      <c r="A102" s="8">
        <v>101</v>
      </c>
      <c r="B102" t="s">
        <v>342</v>
      </c>
      <c r="C102" t="s">
        <v>13</v>
      </c>
      <c r="D102" s="9">
        <f>IF(Main[[#This Row],[Department]]="Management",40,IF(Main[[#This Row],[Department]]="Sales",22,IF(Main[[#This Row],[Department]]="Human Resources",28,IF(Main[[#This Row],[Department]]="Marketing",26,IF(Main[[#This Row],[Department]]="Custodial",26,"Temp")))))</f>
        <v>22</v>
      </c>
      <c r="E102">
        <v>35</v>
      </c>
      <c r="F102" s="9">
        <f>(Main[[#This Row],[$/Hour]]*Main[[#This Row],[Hours/week]])*52</f>
        <v>40040</v>
      </c>
      <c r="G102" s="10">
        <v>107380</v>
      </c>
      <c r="H102" s="10">
        <f>IF(ISNUMBER(Main[[#This Row],[Sales]]),Main[[#This Row],[Sales]]*0.03,"-")</f>
        <v>3221.4</v>
      </c>
      <c r="I102">
        <f ca="1">DATEDIF(Main[[#This Row],[Date Hired]],TODAY(),"Y")</f>
        <v>27</v>
      </c>
      <c r="J102" s="9">
        <f ca="1">IF(Main[[#This Row],[Years of Service]]&gt;=30,1000,IF(Main[[#This Row],[Years of Service]]&gt;=25,750,IF(Main[[#This Row],[Years of Service]]&gt;=20,500,IF(Main[[#This Row],[Years of Service]]&gt;=15,300,IF(Main[[#This Row],[Years of Service]]&gt;=10,150,IF(Main[[#This Row],[Years of Service]]&gt;=5,75,0))))))</f>
        <v>750</v>
      </c>
      <c r="K102" s="9">
        <f ca="1">SUM(Main[[#This Row],[Longevity]],Main[[#This Row],[Yearly Salary]],Main[[#This Row],[Commission]])</f>
        <v>44011.4</v>
      </c>
      <c r="L102" s="9" t="s">
        <v>35</v>
      </c>
      <c r="M102" s="11">
        <v>33615</v>
      </c>
      <c r="N102" s="12">
        <v>2032872386</v>
      </c>
      <c r="O102" s="13" t="s">
        <v>343</v>
      </c>
      <c r="P102" s="14" t="s">
        <v>344</v>
      </c>
      <c r="Q102" t="s">
        <v>42</v>
      </c>
      <c r="R102" s="16">
        <v>6518</v>
      </c>
      <c r="S102" s="12">
        <v>2033822057</v>
      </c>
      <c r="T102">
        <v>46</v>
      </c>
    </row>
    <row r="103" spans="1:20" x14ac:dyDescent="0.25">
      <c r="A103" s="8">
        <v>102</v>
      </c>
      <c r="B103" t="s">
        <v>345</v>
      </c>
      <c r="C103" t="s">
        <v>13</v>
      </c>
      <c r="D103" s="9">
        <f>IF(Main[[#This Row],[Department]]="Management",40,IF(Main[[#This Row],[Department]]="Sales",22,IF(Main[[#This Row],[Department]]="Human Resources",28,IF(Main[[#This Row],[Department]]="Marketing",26,IF(Main[[#This Row],[Department]]="Custodial",26,"Temp")))))</f>
        <v>22</v>
      </c>
      <c r="E103">
        <v>23</v>
      </c>
      <c r="F103" s="9">
        <f>(Main[[#This Row],[$/Hour]]*Main[[#This Row],[Hours/week]])*52</f>
        <v>26312</v>
      </c>
      <c r="G103" s="10">
        <v>80132</v>
      </c>
      <c r="H103" s="10">
        <f>IF(ISNUMBER(Main[[#This Row],[Sales]]),Main[[#This Row],[Sales]]*0.03,"-")</f>
        <v>2403.96</v>
      </c>
      <c r="I103">
        <f ca="1">DATEDIF(Main[[#This Row],[Date Hired]],TODAY(),"Y")</f>
        <v>32</v>
      </c>
      <c r="J103" s="9">
        <f ca="1">IF(Main[[#This Row],[Years of Service]]&gt;=30,1000,IF(Main[[#This Row],[Years of Service]]&gt;=25,750,IF(Main[[#This Row],[Years of Service]]&gt;=20,500,IF(Main[[#This Row],[Years of Service]]&gt;=15,300,IF(Main[[#This Row],[Years of Service]]&gt;=10,150,IF(Main[[#This Row],[Years of Service]]&gt;=5,75,0))))))</f>
        <v>1000</v>
      </c>
      <c r="K103" s="9">
        <f ca="1">SUM(Main[[#This Row],[Longevity]],Main[[#This Row],[Yearly Salary]],Main[[#This Row],[Commission]])</f>
        <v>29715.96</v>
      </c>
      <c r="L103" s="9" t="s">
        <v>35</v>
      </c>
      <c r="M103" s="11">
        <v>31862</v>
      </c>
      <c r="N103" s="12">
        <v>2032872361</v>
      </c>
      <c r="O103" s="13" t="s">
        <v>346</v>
      </c>
      <c r="P103" s="14" t="s">
        <v>347</v>
      </c>
      <c r="Q103" t="s">
        <v>81</v>
      </c>
      <c r="R103" s="16">
        <v>6508</v>
      </c>
      <c r="S103" s="12">
        <v>2035335671</v>
      </c>
      <c r="T103">
        <v>58</v>
      </c>
    </row>
    <row r="104" spans="1:20" x14ac:dyDescent="0.25">
      <c r="A104" s="8">
        <v>103</v>
      </c>
      <c r="B104" t="s">
        <v>348</v>
      </c>
      <c r="C104" t="s">
        <v>13</v>
      </c>
      <c r="D104" s="9">
        <f>IF(Main[[#This Row],[Department]]="Management",40,IF(Main[[#This Row],[Department]]="Sales",22,IF(Main[[#This Row],[Department]]="Human Resources",28,IF(Main[[#This Row],[Department]]="Marketing",26,IF(Main[[#This Row],[Department]]="Custodial",26,"Temp")))))</f>
        <v>22</v>
      </c>
      <c r="E104">
        <v>19.5</v>
      </c>
      <c r="F104" s="9">
        <f>(Main[[#This Row],[$/Hour]]*Main[[#This Row],[Hours/week]])*52</f>
        <v>22308</v>
      </c>
      <c r="G104" s="10">
        <v>60840</v>
      </c>
      <c r="H104" s="10">
        <f>IF(ISNUMBER(Main[[#This Row],[Sales]]),Main[[#This Row],[Sales]]*0.03,"-")</f>
        <v>1825.2</v>
      </c>
      <c r="I104">
        <f ca="1">DATEDIF(Main[[#This Row],[Date Hired]],TODAY(),"Y")</f>
        <v>30</v>
      </c>
      <c r="J104" s="9">
        <f ca="1">IF(Main[[#This Row],[Years of Service]]&gt;=30,1000,IF(Main[[#This Row],[Years of Service]]&gt;=25,750,IF(Main[[#This Row],[Years of Service]]&gt;=20,500,IF(Main[[#This Row],[Years of Service]]&gt;=15,300,IF(Main[[#This Row],[Years of Service]]&gt;=10,150,IF(Main[[#This Row],[Years of Service]]&gt;=5,75,0))))))</f>
        <v>1000</v>
      </c>
      <c r="K104" s="9">
        <f ca="1">SUM(Main[[#This Row],[Longevity]],Main[[#This Row],[Yearly Salary]],Main[[#This Row],[Commission]])</f>
        <v>25133.200000000001</v>
      </c>
      <c r="L104" s="9" t="s">
        <v>35</v>
      </c>
      <c r="M104" s="11">
        <v>32579</v>
      </c>
      <c r="N104" s="12">
        <v>2032872691</v>
      </c>
      <c r="O104" s="13" t="s">
        <v>349</v>
      </c>
      <c r="P104" s="14" t="s">
        <v>350</v>
      </c>
      <c r="Q104" t="s">
        <v>33</v>
      </c>
      <c r="R104" s="16">
        <v>6473</v>
      </c>
      <c r="S104" s="12">
        <v>2036726601</v>
      </c>
      <c r="T104">
        <v>66</v>
      </c>
    </row>
    <row r="105" spans="1:20" x14ac:dyDescent="0.25">
      <c r="A105" s="8">
        <v>104</v>
      </c>
      <c r="B105" t="s">
        <v>351</v>
      </c>
      <c r="C105" t="s">
        <v>62</v>
      </c>
      <c r="D105" s="9">
        <f>IF(Main[[#This Row],[Department]]="Management",40,IF(Main[[#This Row],[Department]]="Sales",22,IF(Main[[#This Row],[Department]]="Human Resources",28,IF(Main[[#This Row],[Department]]="Marketing",26,IF(Main[[#This Row],[Department]]="Custodial",26,"Temp")))))</f>
        <v>26</v>
      </c>
      <c r="E105">
        <v>37.5</v>
      </c>
      <c r="F105" s="9">
        <f>(Main[[#This Row],[$/Hour]]*Main[[#This Row],[Hours/week]])*52</f>
        <v>50700</v>
      </c>
      <c r="G105" s="10" t="s">
        <v>312</v>
      </c>
      <c r="H105" s="10" t="str">
        <f>IF(ISNUMBER(Main[[#This Row],[Sales]]),Main[[#This Row],[Sales]]*0.03,"-")</f>
        <v>-</v>
      </c>
      <c r="I105">
        <f ca="1">DATEDIF(Main[[#This Row],[Date Hired]],TODAY(),"Y")</f>
        <v>24</v>
      </c>
      <c r="J105" s="9">
        <f ca="1">IF(Main[[#This Row],[Years of Service]]&gt;=30,1000,IF(Main[[#This Row],[Years of Service]]&gt;=25,750,IF(Main[[#This Row],[Years of Service]]&gt;=20,500,IF(Main[[#This Row],[Years of Service]]&gt;=15,300,IF(Main[[#This Row],[Years of Service]]&gt;=10,150,IF(Main[[#This Row],[Years of Service]]&gt;=5,75,0))))))</f>
        <v>500</v>
      </c>
      <c r="K105" s="9">
        <f ca="1">SUM(Main[[#This Row],[Longevity]],Main[[#This Row],[Yearly Salary]],Main[[#This Row],[Commission]])</f>
        <v>51200</v>
      </c>
      <c r="L105" s="9" t="s">
        <v>30</v>
      </c>
      <c r="M105" s="11">
        <v>34515</v>
      </c>
      <c r="N105" s="12">
        <v>2032872617</v>
      </c>
      <c r="O105" s="13" t="s">
        <v>352</v>
      </c>
      <c r="P105" s="14" t="s">
        <v>353</v>
      </c>
      <c r="Q105" t="s">
        <v>81</v>
      </c>
      <c r="R105" s="16">
        <v>6505</v>
      </c>
      <c r="S105" s="12">
        <v>2038813709</v>
      </c>
      <c r="T105">
        <v>51</v>
      </c>
    </row>
    <row r="106" spans="1:20" x14ac:dyDescent="0.25">
      <c r="A106" s="8">
        <v>105</v>
      </c>
      <c r="B106" t="s">
        <v>354</v>
      </c>
      <c r="C106" t="s">
        <v>13</v>
      </c>
      <c r="D106" s="9">
        <f>IF(Main[[#This Row],[Department]]="Management",40,IF(Main[[#This Row],[Department]]="Sales",22,IF(Main[[#This Row],[Department]]="Human Resources",28,IF(Main[[#This Row],[Department]]="Marketing",26,IF(Main[[#This Row],[Department]]="Custodial",26,"Temp")))))</f>
        <v>22</v>
      </c>
      <c r="E106">
        <v>19.5</v>
      </c>
      <c r="F106" s="9">
        <f>(Main[[#This Row],[$/Hour]]*Main[[#This Row],[Hours/week]])*52</f>
        <v>22308</v>
      </c>
      <c r="G106" s="10">
        <v>66924</v>
      </c>
      <c r="H106" s="10">
        <f>IF(ISNUMBER(Main[[#This Row],[Sales]]),Main[[#This Row],[Sales]]*0.03,"-")</f>
        <v>2007.72</v>
      </c>
      <c r="I106">
        <f ca="1">DATEDIF(Main[[#This Row],[Date Hired]],TODAY(),"Y")</f>
        <v>3</v>
      </c>
      <c r="J106" s="9">
        <f ca="1">IF(Main[[#This Row],[Years of Service]]&gt;=30,1000,IF(Main[[#This Row],[Years of Service]]&gt;=25,750,IF(Main[[#This Row],[Years of Service]]&gt;=20,500,IF(Main[[#This Row],[Years of Service]]&gt;=15,300,IF(Main[[#This Row],[Years of Service]]&gt;=10,150,IF(Main[[#This Row],[Years of Service]]&gt;=5,75,0))))))</f>
        <v>0</v>
      </c>
      <c r="K106" s="9">
        <f ca="1">SUM(Main[[#This Row],[Longevity]],Main[[#This Row],[Yearly Salary]],Main[[#This Row],[Commission]])</f>
        <v>24315.72</v>
      </c>
      <c r="L106" s="9" t="s">
        <v>30</v>
      </c>
      <c r="M106" s="11">
        <v>42282</v>
      </c>
      <c r="N106" s="12">
        <v>2032872352</v>
      </c>
      <c r="O106" s="13" t="s">
        <v>355</v>
      </c>
      <c r="P106" s="14" t="s">
        <v>356</v>
      </c>
      <c r="Q106" t="s">
        <v>50</v>
      </c>
      <c r="R106" s="16">
        <v>6410</v>
      </c>
      <c r="S106" s="12">
        <v>2036815399</v>
      </c>
      <c r="T106">
        <v>41</v>
      </c>
    </row>
    <row r="107" spans="1:20" x14ac:dyDescent="0.25">
      <c r="A107" s="8">
        <v>106</v>
      </c>
      <c r="B107" t="s">
        <v>357</v>
      </c>
      <c r="C107" t="s">
        <v>13</v>
      </c>
      <c r="D107" s="9">
        <f>IF(Main[[#This Row],[Department]]="Management",40,IF(Main[[#This Row],[Department]]="Sales",22,IF(Main[[#This Row],[Department]]="Human Resources",28,IF(Main[[#This Row],[Department]]="Marketing",26,IF(Main[[#This Row],[Department]]="Custodial",26,"Temp")))))</f>
        <v>22</v>
      </c>
      <c r="E107">
        <v>37.5</v>
      </c>
      <c r="F107" s="9">
        <f>(Main[[#This Row],[$/Hour]]*Main[[#This Row],[Hours/week]])*52</f>
        <v>42900</v>
      </c>
      <c r="G107" s="10">
        <v>122850</v>
      </c>
      <c r="H107" s="10">
        <f>IF(ISNUMBER(Main[[#This Row],[Sales]]),Main[[#This Row],[Sales]]*0.03,"-")</f>
        <v>3685.5</v>
      </c>
      <c r="I107">
        <f ca="1">DATEDIF(Main[[#This Row],[Date Hired]],TODAY(),"Y")</f>
        <v>11</v>
      </c>
      <c r="J107" s="9">
        <f ca="1">IF(Main[[#This Row],[Years of Service]]&gt;=30,1000,IF(Main[[#This Row],[Years of Service]]&gt;=25,750,IF(Main[[#This Row],[Years of Service]]&gt;=20,500,IF(Main[[#This Row],[Years of Service]]&gt;=15,300,IF(Main[[#This Row],[Years of Service]]&gt;=10,150,IF(Main[[#This Row],[Years of Service]]&gt;=5,75,0))))))</f>
        <v>150</v>
      </c>
      <c r="K107" s="9">
        <f ca="1">SUM(Main[[#This Row],[Longevity]],Main[[#This Row],[Yearly Salary]],Main[[#This Row],[Commission]])</f>
        <v>46735.5</v>
      </c>
      <c r="L107" s="9" t="s">
        <v>35</v>
      </c>
      <c r="M107" s="11">
        <v>39330</v>
      </c>
      <c r="N107" s="12">
        <v>2032872655</v>
      </c>
      <c r="O107" s="13" t="s">
        <v>358</v>
      </c>
      <c r="P107" s="14" t="s">
        <v>359</v>
      </c>
      <c r="Q107" t="s">
        <v>50</v>
      </c>
      <c r="R107" s="16">
        <v>6410</v>
      </c>
      <c r="S107" s="12">
        <v>6545266879</v>
      </c>
      <c r="T107">
        <v>42</v>
      </c>
    </row>
    <row r="108" spans="1:20" x14ac:dyDescent="0.25">
      <c r="A108" s="8">
        <v>107</v>
      </c>
      <c r="B108" t="s">
        <v>360</v>
      </c>
      <c r="C108" t="s">
        <v>13</v>
      </c>
      <c r="D108" s="9">
        <f>IF(Main[[#This Row],[Department]]="Management",40,IF(Main[[#This Row],[Department]]="Sales",22,IF(Main[[#This Row],[Department]]="Human Resources",28,IF(Main[[#This Row],[Department]]="Marketing",26,IF(Main[[#This Row],[Department]]="Custodial",26,"Temp")))))</f>
        <v>22</v>
      </c>
      <c r="E108">
        <v>37.5</v>
      </c>
      <c r="F108" s="9">
        <f>(Main[[#This Row],[$/Hour]]*Main[[#This Row],[Hours/week]])*52</f>
        <v>42900</v>
      </c>
      <c r="G108" s="10">
        <v>60450</v>
      </c>
      <c r="H108" s="10">
        <f>IF(ISNUMBER(Main[[#This Row],[Sales]]),Main[[#This Row],[Sales]]*0.03,"-")</f>
        <v>1813.5</v>
      </c>
      <c r="I108">
        <f ca="1">DATEDIF(Main[[#This Row],[Date Hired]],TODAY(),"Y")</f>
        <v>26</v>
      </c>
      <c r="J108" s="9">
        <f ca="1">IF(Main[[#This Row],[Years of Service]]&gt;=30,1000,IF(Main[[#This Row],[Years of Service]]&gt;=25,750,IF(Main[[#This Row],[Years of Service]]&gt;=20,500,IF(Main[[#This Row],[Years of Service]]&gt;=15,300,IF(Main[[#This Row],[Years of Service]]&gt;=10,150,IF(Main[[#This Row],[Years of Service]]&gt;=5,75,0))))))</f>
        <v>750</v>
      </c>
      <c r="K108" s="9">
        <f ca="1">SUM(Main[[#This Row],[Longevity]],Main[[#This Row],[Yearly Salary]],Main[[#This Row],[Commission]])</f>
        <v>45463.5</v>
      </c>
      <c r="L108" s="9" t="s">
        <v>35</v>
      </c>
      <c r="M108" s="11">
        <v>33747</v>
      </c>
      <c r="N108" s="12">
        <v>2032872358</v>
      </c>
      <c r="O108" s="13" t="s">
        <v>361</v>
      </c>
      <c r="P108" s="14" t="s">
        <v>362</v>
      </c>
      <c r="Q108" t="s">
        <v>46</v>
      </c>
      <c r="R108" s="16">
        <v>6512</v>
      </c>
      <c r="S108" s="12">
        <v>2031634821</v>
      </c>
      <c r="T108">
        <v>54</v>
      </c>
    </row>
    <row r="109" spans="1:20" x14ac:dyDescent="0.25">
      <c r="A109" s="8">
        <v>108</v>
      </c>
      <c r="B109" t="s">
        <v>363</v>
      </c>
      <c r="C109" t="s">
        <v>13</v>
      </c>
      <c r="D109" s="9">
        <f>IF(Main[[#This Row],[Department]]="Management",40,IF(Main[[#This Row],[Department]]="Sales",22,IF(Main[[#This Row],[Department]]="Human Resources",28,IF(Main[[#This Row],[Department]]="Marketing",26,IF(Main[[#This Row],[Department]]="Custodial",26,"Temp")))))</f>
        <v>22</v>
      </c>
      <c r="E109">
        <v>15</v>
      </c>
      <c r="F109" s="9">
        <f>(Main[[#This Row],[$/Hour]]*Main[[#This Row],[Hours/week]])*52</f>
        <v>17160</v>
      </c>
      <c r="G109" s="10">
        <v>38220</v>
      </c>
      <c r="H109" s="10">
        <f>IF(ISNUMBER(Main[[#This Row],[Sales]]),Main[[#This Row],[Sales]]*0.03,"-")</f>
        <v>1146.5999999999999</v>
      </c>
      <c r="I109">
        <f ca="1">DATEDIF(Main[[#This Row],[Date Hired]],TODAY(),"Y")</f>
        <v>7</v>
      </c>
      <c r="J109" s="9">
        <f ca="1">IF(Main[[#This Row],[Years of Service]]&gt;=30,1000,IF(Main[[#This Row],[Years of Service]]&gt;=25,750,IF(Main[[#This Row],[Years of Service]]&gt;=20,500,IF(Main[[#This Row],[Years of Service]]&gt;=15,300,IF(Main[[#This Row],[Years of Service]]&gt;=10,150,IF(Main[[#This Row],[Years of Service]]&gt;=5,75,0))))))</f>
        <v>75</v>
      </c>
      <c r="K109" s="9">
        <f ca="1">SUM(Main[[#This Row],[Longevity]],Main[[#This Row],[Yearly Salary]],Main[[#This Row],[Commission]])</f>
        <v>18381.599999999999</v>
      </c>
      <c r="L109" s="9" t="s">
        <v>35</v>
      </c>
      <c r="M109" s="11">
        <v>40730</v>
      </c>
      <c r="N109" s="12">
        <v>2032872324</v>
      </c>
      <c r="O109" s="13" t="s">
        <v>364</v>
      </c>
      <c r="P109" s="14" t="s">
        <v>365</v>
      </c>
      <c r="Q109" t="s">
        <v>50</v>
      </c>
      <c r="R109" s="16">
        <v>6410</v>
      </c>
      <c r="S109" s="12">
        <v>2031723857</v>
      </c>
      <c r="T109">
        <v>38</v>
      </c>
    </row>
    <row r="110" spans="1:20" x14ac:dyDescent="0.25">
      <c r="A110" s="8">
        <v>109</v>
      </c>
      <c r="B110" t="s">
        <v>366</v>
      </c>
      <c r="C110" t="s">
        <v>13</v>
      </c>
      <c r="D110" s="9">
        <f>IF(Main[[#This Row],[Department]]="Management",40,IF(Main[[#This Row],[Department]]="Sales",22,IF(Main[[#This Row],[Department]]="Human Resources",28,IF(Main[[#This Row],[Department]]="Marketing",26,IF(Main[[#This Row],[Department]]="Custodial",26,"Temp")))))</f>
        <v>22</v>
      </c>
      <c r="E110">
        <v>23</v>
      </c>
      <c r="F110" s="9">
        <f>(Main[[#This Row],[$/Hour]]*Main[[#This Row],[Hours/week]])*52</f>
        <v>26312</v>
      </c>
      <c r="G110" s="10">
        <v>66976</v>
      </c>
      <c r="H110" s="10">
        <f>IF(ISNUMBER(Main[[#This Row],[Sales]]),Main[[#This Row],[Sales]]*0.03,"-")</f>
        <v>2009.28</v>
      </c>
      <c r="I110">
        <f ca="1">DATEDIF(Main[[#This Row],[Date Hired]],TODAY(),"Y")</f>
        <v>10</v>
      </c>
      <c r="J110" s="9">
        <f ca="1">IF(Main[[#This Row],[Years of Service]]&gt;=30,1000,IF(Main[[#This Row],[Years of Service]]&gt;=25,750,IF(Main[[#This Row],[Years of Service]]&gt;=20,500,IF(Main[[#This Row],[Years of Service]]&gt;=15,300,IF(Main[[#This Row],[Years of Service]]&gt;=10,150,IF(Main[[#This Row],[Years of Service]]&gt;=5,75,0))))))</f>
        <v>150</v>
      </c>
      <c r="K110" s="9">
        <f ca="1">SUM(Main[[#This Row],[Longevity]],Main[[#This Row],[Yearly Salary]],Main[[#This Row],[Commission]])</f>
        <v>28471.279999999999</v>
      </c>
      <c r="L110" s="9" t="s">
        <v>35</v>
      </c>
      <c r="M110" s="11">
        <v>39888</v>
      </c>
      <c r="N110" s="12">
        <v>2032872311</v>
      </c>
      <c r="O110" s="13" t="s">
        <v>367</v>
      </c>
      <c r="P110" s="14" t="s">
        <v>368</v>
      </c>
      <c r="Q110" t="s">
        <v>42</v>
      </c>
      <c r="R110" s="16">
        <v>6517</v>
      </c>
      <c r="S110" s="12">
        <v>2037018837</v>
      </c>
      <c r="T110">
        <v>27</v>
      </c>
    </row>
    <row r="111" spans="1:20" x14ac:dyDescent="0.25">
      <c r="A111" s="8">
        <v>110</v>
      </c>
      <c r="B111" t="s">
        <v>369</v>
      </c>
      <c r="C111" t="s">
        <v>13</v>
      </c>
      <c r="D111" s="9">
        <f>IF(Main[[#This Row],[Department]]="Management",40,IF(Main[[#This Row],[Department]]="Sales",22,IF(Main[[#This Row],[Department]]="Human Resources",28,IF(Main[[#This Row],[Department]]="Marketing",26,IF(Main[[#This Row],[Department]]="Custodial",26,"Temp")))))</f>
        <v>22</v>
      </c>
      <c r="E111">
        <v>37.5</v>
      </c>
      <c r="F111" s="9">
        <f>(Main[[#This Row],[$/Hour]]*Main[[#This Row],[Hours/week]])*52</f>
        <v>42900</v>
      </c>
      <c r="G111" s="10">
        <v>76050</v>
      </c>
      <c r="H111" s="10">
        <f>IF(ISNUMBER(Main[[#This Row],[Sales]]),Main[[#This Row],[Sales]]*0.03,"-")</f>
        <v>2281.5</v>
      </c>
      <c r="I111">
        <f ca="1">DATEDIF(Main[[#This Row],[Date Hired]],TODAY(),"Y")</f>
        <v>9</v>
      </c>
      <c r="J111" s="9">
        <f ca="1">IF(Main[[#This Row],[Years of Service]]&gt;=30,1000,IF(Main[[#This Row],[Years of Service]]&gt;=25,750,IF(Main[[#This Row],[Years of Service]]&gt;=20,500,IF(Main[[#This Row],[Years of Service]]&gt;=15,300,IF(Main[[#This Row],[Years of Service]]&gt;=10,150,IF(Main[[#This Row],[Years of Service]]&gt;=5,75,0))))))</f>
        <v>75</v>
      </c>
      <c r="K111" s="9">
        <f ca="1">SUM(Main[[#This Row],[Longevity]],Main[[#This Row],[Yearly Salary]],Main[[#This Row],[Commission]])</f>
        <v>45256.5</v>
      </c>
      <c r="L111" s="9" t="s">
        <v>35</v>
      </c>
      <c r="M111" s="11">
        <v>40185</v>
      </c>
      <c r="N111" s="12">
        <v>2032872345</v>
      </c>
      <c r="O111" s="13" t="s">
        <v>370</v>
      </c>
      <c r="P111" s="14" t="s">
        <v>371</v>
      </c>
      <c r="Q111" t="s">
        <v>88</v>
      </c>
      <c r="R111" s="16">
        <v>6524</v>
      </c>
      <c r="S111" s="12">
        <v>2031887636</v>
      </c>
      <c r="T111">
        <v>42</v>
      </c>
    </row>
    <row r="112" spans="1:20" x14ac:dyDescent="0.25">
      <c r="A112" s="8">
        <v>111</v>
      </c>
      <c r="B112" t="s">
        <v>372</v>
      </c>
      <c r="C112" t="s">
        <v>13</v>
      </c>
      <c r="D112" s="9">
        <f>IF(Main[[#This Row],[Department]]="Management",40,IF(Main[[#This Row],[Department]]="Sales",22,IF(Main[[#This Row],[Department]]="Human Resources",28,IF(Main[[#This Row],[Department]]="Marketing",26,IF(Main[[#This Row],[Department]]="Custodial",26,"Temp")))))</f>
        <v>22</v>
      </c>
      <c r="E112">
        <v>35</v>
      </c>
      <c r="F112" s="9">
        <f>(Main[[#This Row],[$/Hour]]*Main[[#This Row],[Hours/week]])*52</f>
        <v>40040</v>
      </c>
      <c r="G112" s="10">
        <v>167440</v>
      </c>
      <c r="H112" s="10">
        <f>IF(ISNUMBER(Main[[#This Row],[Sales]]),Main[[#This Row],[Sales]]*0.03,"-")</f>
        <v>5023.2</v>
      </c>
      <c r="I112">
        <f ca="1">DATEDIF(Main[[#This Row],[Date Hired]],TODAY(),"Y")</f>
        <v>5</v>
      </c>
      <c r="J112" s="9">
        <f ca="1">IF(Main[[#This Row],[Years of Service]]&gt;=30,1000,IF(Main[[#This Row],[Years of Service]]&gt;=25,750,IF(Main[[#This Row],[Years of Service]]&gt;=20,500,IF(Main[[#This Row],[Years of Service]]&gt;=15,300,IF(Main[[#This Row],[Years of Service]]&gt;=10,150,IF(Main[[#This Row],[Years of Service]]&gt;=5,75,0))))))</f>
        <v>75</v>
      </c>
      <c r="K112" s="9">
        <f ca="1">SUM(Main[[#This Row],[Longevity]],Main[[#This Row],[Yearly Salary]],Main[[#This Row],[Commission]])</f>
        <v>45138.2</v>
      </c>
      <c r="L112" s="9" t="s">
        <v>35</v>
      </c>
      <c r="M112" s="11">
        <v>41548</v>
      </c>
      <c r="N112" s="12">
        <v>2032872399</v>
      </c>
      <c r="O112" s="13" t="s">
        <v>373</v>
      </c>
      <c r="P112" s="14" t="s">
        <v>374</v>
      </c>
      <c r="Q112" t="s">
        <v>81</v>
      </c>
      <c r="R112" s="16">
        <v>6505</v>
      </c>
      <c r="S112" s="12">
        <v>2036367715</v>
      </c>
      <c r="T112">
        <v>42</v>
      </c>
    </row>
    <row r="113" spans="1:20" x14ac:dyDescent="0.25">
      <c r="A113" s="8">
        <v>112</v>
      </c>
      <c r="B113" t="s">
        <v>375</v>
      </c>
      <c r="C113" t="s">
        <v>13</v>
      </c>
      <c r="D113" s="9">
        <f>IF(Main[[#This Row],[Department]]="Management",40,IF(Main[[#This Row],[Department]]="Sales",22,IF(Main[[#This Row],[Department]]="Human Resources",28,IF(Main[[#This Row],[Department]]="Marketing",26,IF(Main[[#This Row],[Department]]="Custodial",26,"Temp")))))</f>
        <v>22</v>
      </c>
      <c r="E113">
        <v>23</v>
      </c>
      <c r="F113" s="9">
        <f>(Main[[#This Row],[$/Hour]]*Main[[#This Row],[Hours/week]])*52</f>
        <v>26312</v>
      </c>
      <c r="G113" s="10">
        <v>39468</v>
      </c>
      <c r="H113" s="10">
        <f>IF(ISNUMBER(Main[[#This Row],[Sales]]),Main[[#This Row],[Sales]]*0.03,"-")</f>
        <v>1184.04</v>
      </c>
      <c r="I113">
        <f ca="1">DATEDIF(Main[[#This Row],[Date Hired]],TODAY(),"Y")</f>
        <v>18</v>
      </c>
      <c r="J113" s="9">
        <f ca="1">IF(Main[[#This Row],[Years of Service]]&gt;=30,1000,IF(Main[[#This Row],[Years of Service]]&gt;=25,750,IF(Main[[#This Row],[Years of Service]]&gt;=20,500,IF(Main[[#This Row],[Years of Service]]&gt;=15,300,IF(Main[[#This Row],[Years of Service]]&gt;=10,150,IF(Main[[#This Row],[Years of Service]]&gt;=5,75,0))))))</f>
        <v>300</v>
      </c>
      <c r="K113" s="9">
        <f ca="1">SUM(Main[[#This Row],[Longevity]],Main[[#This Row],[Yearly Salary]],Main[[#This Row],[Commission]])</f>
        <v>27796.04</v>
      </c>
      <c r="L113" s="9" t="s">
        <v>30</v>
      </c>
      <c r="M113" s="11">
        <v>36740</v>
      </c>
      <c r="N113" s="12">
        <v>2032872663</v>
      </c>
      <c r="O113" s="13" t="s">
        <v>376</v>
      </c>
      <c r="P113" s="14" t="s">
        <v>377</v>
      </c>
      <c r="Q113" t="s">
        <v>33</v>
      </c>
      <c r="R113" s="16">
        <v>6473</v>
      </c>
      <c r="S113" s="12">
        <v>2035522516</v>
      </c>
      <c r="T113">
        <v>54</v>
      </c>
    </row>
    <row r="114" spans="1:20" x14ac:dyDescent="0.25">
      <c r="A114" s="8">
        <v>113</v>
      </c>
      <c r="B114" t="s">
        <v>378</v>
      </c>
      <c r="C114" t="s">
        <v>13</v>
      </c>
      <c r="D114" s="9">
        <f>IF(Main[[#This Row],[Department]]="Management",40,IF(Main[[#This Row],[Department]]="Sales",22,IF(Main[[#This Row],[Department]]="Human Resources",28,IF(Main[[#This Row],[Department]]="Marketing",26,IF(Main[[#This Row],[Department]]="Custodial",26,"Temp")))))</f>
        <v>22</v>
      </c>
      <c r="E114">
        <v>19.5</v>
      </c>
      <c r="F114" s="9">
        <f>(Main[[#This Row],[$/Hour]]*Main[[#This Row],[Hours/week]])*52</f>
        <v>22308</v>
      </c>
      <c r="G114" s="10">
        <v>34476</v>
      </c>
      <c r="H114" s="10">
        <f>IF(ISNUMBER(Main[[#This Row],[Sales]]),Main[[#This Row],[Sales]]*0.03,"-")</f>
        <v>1034.28</v>
      </c>
      <c r="I114">
        <f ca="1">DATEDIF(Main[[#This Row],[Date Hired]],TODAY(),"Y")</f>
        <v>5</v>
      </c>
      <c r="J114" s="9">
        <f ca="1">IF(Main[[#This Row],[Years of Service]]&gt;=30,1000,IF(Main[[#This Row],[Years of Service]]&gt;=25,750,IF(Main[[#This Row],[Years of Service]]&gt;=20,500,IF(Main[[#This Row],[Years of Service]]&gt;=15,300,IF(Main[[#This Row],[Years of Service]]&gt;=10,150,IF(Main[[#This Row],[Years of Service]]&gt;=5,75,0))))))</f>
        <v>75</v>
      </c>
      <c r="K114" s="9">
        <f ca="1">SUM(Main[[#This Row],[Longevity]],Main[[#This Row],[Yearly Salary]],Main[[#This Row],[Commission]])</f>
        <v>23417.279999999999</v>
      </c>
      <c r="L114" s="9" t="s">
        <v>35</v>
      </c>
      <c r="M114" s="11">
        <v>41384</v>
      </c>
      <c r="N114" s="12">
        <v>2032872391</v>
      </c>
      <c r="O114" s="13" t="s">
        <v>379</v>
      </c>
      <c r="P114" s="14" t="s">
        <v>380</v>
      </c>
      <c r="Q114" t="s">
        <v>42</v>
      </c>
      <c r="R114" s="16">
        <v>6517</v>
      </c>
      <c r="S114" s="12">
        <v>2037954767</v>
      </c>
      <c r="T114">
        <v>31</v>
      </c>
    </row>
    <row r="115" spans="1:20" x14ac:dyDescent="0.25">
      <c r="A115" s="8">
        <v>114</v>
      </c>
      <c r="B115" t="s">
        <v>381</v>
      </c>
      <c r="C115" t="s">
        <v>13</v>
      </c>
      <c r="D115" s="9">
        <f>IF(Main[[#This Row],[Department]]="Management",40,IF(Main[[#This Row],[Department]]="Sales",22,IF(Main[[#This Row],[Department]]="Human Resources",28,IF(Main[[#This Row],[Department]]="Marketing",26,IF(Main[[#This Row],[Department]]="Custodial",26,"Temp")))))</f>
        <v>22</v>
      </c>
      <c r="E115">
        <v>19.5</v>
      </c>
      <c r="F115" s="9">
        <f>(Main[[#This Row],[$/Hour]]*Main[[#This Row],[Hours/week]])*52</f>
        <v>22308</v>
      </c>
      <c r="G115" s="10">
        <v>81120</v>
      </c>
      <c r="H115" s="10">
        <f>IF(ISNUMBER(Main[[#This Row],[Sales]]),Main[[#This Row],[Sales]]*0.03,"-")</f>
        <v>2433.6</v>
      </c>
      <c r="I115">
        <f ca="1">DATEDIF(Main[[#This Row],[Date Hired]],TODAY(),"Y")</f>
        <v>18</v>
      </c>
      <c r="J115" s="9">
        <f ca="1">IF(Main[[#This Row],[Years of Service]]&gt;=30,1000,IF(Main[[#This Row],[Years of Service]]&gt;=25,750,IF(Main[[#This Row],[Years of Service]]&gt;=20,500,IF(Main[[#This Row],[Years of Service]]&gt;=15,300,IF(Main[[#This Row],[Years of Service]]&gt;=10,150,IF(Main[[#This Row],[Years of Service]]&gt;=5,75,0))))))</f>
        <v>300</v>
      </c>
      <c r="K115" s="9">
        <f ca="1">SUM(Main[[#This Row],[Longevity]],Main[[#This Row],[Yearly Salary]],Main[[#This Row],[Commission]])</f>
        <v>25041.599999999999</v>
      </c>
      <c r="L115" s="9" t="s">
        <v>35</v>
      </c>
      <c r="M115" s="11">
        <v>36657</v>
      </c>
      <c r="N115" s="12">
        <v>2032872634</v>
      </c>
      <c r="O115" s="13" t="s">
        <v>123</v>
      </c>
      <c r="P115" s="14" t="s">
        <v>382</v>
      </c>
      <c r="Q115" t="s">
        <v>42</v>
      </c>
      <c r="R115" s="16">
        <v>6514</v>
      </c>
      <c r="S115" s="12">
        <v>2038178871</v>
      </c>
      <c r="T115">
        <v>50</v>
      </c>
    </row>
    <row r="116" spans="1:20" x14ac:dyDescent="0.25">
      <c r="A116" s="8">
        <v>115</v>
      </c>
      <c r="B116" t="s">
        <v>383</v>
      </c>
      <c r="C116" t="s">
        <v>13</v>
      </c>
      <c r="D116" s="9">
        <f>IF(Main[[#This Row],[Department]]="Management",40,IF(Main[[#This Row],[Department]]="Sales",22,IF(Main[[#This Row],[Department]]="Human Resources",28,IF(Main[[#This Row],[Department]]="Marketing",26,IF(Main[[#This Row],[Department]]="Custodial",26,"Temp")))))</f>
        <v>22</v>
      </c>
      <c r="E116">
        <v>23</v>
      </c>
      <c r="F116" s="9">
        <f>(Main[[#This Row],[$/Hour]]*Main[[#This Row],[Hours/week]])*52</f>
        <v>26312</v>
      </c>
      <c r="G116" s="10">
        <v>33488</v>
      </c>
      <c r="H116" s="10">
        <f>IF(ISNUMBER(Main[[#This Row],[Sales]]),Main[[#This Row],[Sales]]*0.03,"-")</f>
        <v>1004.64</v>
      </c>
      <c r="I116">
        <f ca="1">DATEDIF(Main[[#This Row],[Date Hired]],TODAY(),"Y")</f>
        <v>24</v>
      </c>
      <c r="J116" s="9">
        <f ca="1">IF(Main[[#This Row],[Years of Service]]&gt;=30,1000,IF(Main[[#This Row],[Years of Service]]&gt;=25,750,IF(Main[[#This Row],[Years of Service]]&gt;=20,500,IF(Main[[#This Row],[Years of Service]]&gt;=15,300,IF(Main[[#This Row],[Years of Service]]&gt;=10,150,IF(Main[[#This Row],[Years of Service]]&gt;=5,75,0))))))</f>
        <v>500</v>
      </c>
      <c r="K116" s="9">
        <f ca="1">SUM(Main[[#This Row],[Longevity]],Main[[#This Row],[Yearly Salary]],Main[[#This Row],[Commission]])</f>
        <v>27816.639999999999</v>
      </c>
      <c r="L116" s="9" t="s">
        <v>35</v>
      </c>
      <c r="M116" s="11">
        <v>34671</v>
      </c>
      <c r="N116" s="12">
        <v>2032872654</v>
      </c>
      <c r="O116" s="13" t="s">
        <v>384</v>
      </c>
      <c r="P116" s="14" t="s">
        <v>385</v>
      </c>
      <c r="Q116" t="s">
        <v>42</v>
      </c>
      <c r="R116" s="16">
        <v>6514</v>
      </c>
      <c r="S116" s="12">
        <v>2039592286</v>
      </c>
      <c r="T116">
        <v>49</v>
      </c>
    </row>
    <row r="117" spans="1:20" x14ac:dyDescent="0.25">
      <c r="A117" s="8">
        <v>116</v>
      </c>
      <c r="B117" t="s">
        <v>386</v>
      </c>
      <c r="C117" t="s">
        <v>13</v>
      </c>
      <c r="D117" s="9">
        <f>IF(Main[[#This Row],[Department]]="Management",40,IF(Main[[#This Row],[Department]]="Sales",22,IF(Main[[#This Row],[Department]]="Human Resources",28,IF(Main[[#This Row],[Department]]="Marketing",26,IF(Main[[#This Row],[Department]]="Custodial",26,"Temp")))))</f>
        <v>22</v>
      </c>
      <c r="E117">
        <v>35</v>
      </c>
      <c r="F117" s="9">
        <f>(Main[[#This Row],[$/Hour]]*Main[[#This Row],[Hours/week]])*52</f>
        <v>40040</v>
      </c>
      <c r="G117" s="10">
        <v>100100</v>
      </c>
      <c r="H117" s="10">
        <f>IF(ISNUMBER(Main[[#This Row],[Sales]]),Main[[#This Row],[Sales]]*0.03,"-")</f>
        <v>3003</v>
      </c>
      <c r="I117">
        <f ca="1">DATEDIF(Main[[#This Row],[Date Hired]],TODAY(),"Y")</f>
        <v>29</v>
      </c>
      <c r="J117" s="9">
        <f ca="1">IF(Main[[#This Row],[Years of Service]]&gt;=30,1000,IF(Main[[#This Row],[Years of Service]]&gt;=25,750,IF(Main[[#This Row],[Years of Service]]&gt;=20,500,IF(Main[[#This Row],[Years of Service]]&gt;=15,300,IF(Main[[#This Row],[Years of Service]]&gt;=10,150,IF(Main[[#This Row],[Years of Service]]&gt;=5,75,0))))))</f>
        <v>750</v>
      </c>
      <c r="K117" s="9">
        <f ca="1">SUM(Main[[#This Row],[Longevity]],Main[[#This Row],[Yearly Salary]],Main[[#This Row],[Commission]])</f>
        <v>43793</v>
      </c>
      <c r="L117" s="9" t="s">
        <v>30</v>
      </c>
      <c r="M117" s="11">
        <v>32911</v>
      </c>
      <c r="N117" s="12">
        <v>2032872341</v>
      </c>
      <c r="O117" s="13" t="s">
        <v>387</v>
      </c>
      <c r="P117" s="14" t="s">
        <v>388</v>
      </c>
      <c r="Q117" t="s">
        <v>42</v>
      </c>
      <c r="R117" s="16">
        <v>6518</v>
      </c>
      <c r="S117" s="12">
        <v>9816889668</v>
      </c>
      <c r="T117">
        <v>46</v>
      </c>
    </row>
    <row r="118" spans="1:20" x14ac:dyDescent="0.25">
      <c r="A118" s="8">
        <v>117</v>
      </c>
      <c r="B118" t="s">
        <v>389</v>
      </c>
      <c r="C118" t="s">
        <v>13</v>
      </c>
      <c r="D118" s="9">
        <f>IF(Main[[#This Row],[Department]]="Management",40,IF(Main[[#This Row],[Department]]="Sales",22,IF(Main[[#This Row],[Department]]="Human Resources",28,IF(Main[[#This Row],[Department]]="Marketing",26,IF(Main[[#This Row],[Department]]="Custodial",26,"Temp")))))</f>
        <v>22</v>
      </c>
      <c r="E118">
        <v>15</v>
      </c>
      <c r="F118" s="9">
        <f>(Main[[#This Row],[$/Hour]]*Main[[#This Row],[Hours/week]])*52</f>
        <v>17160</v>
      </c>
      <c r="G118" s="10">
        <v>34320</v>
      </c>
      <c r="H118" s="10">
        <f>IF(ISNUMBER(Main[[#This Row],[Sales]]),Main[[#This Row],[Sales]]*0.03,"-")</f>
        <v>1029.5999999999999</v>
      </c>
      <c r="I118">
        <f ca="1">DATEDIF(Main[[#This Row],[Date Hired]],TODAY(),"Y")</f>
        <v>13</v>
      </c>
      <c r="J118" s="9">
        <f ca="1">IF(Main[[#This Row],[Years of Service]]&gt;=30,1000,IF(Main[[#This Row],[Years of Service]]&gt;=25,750,IF(Main[[#This Row],[Years of Service]]&gt;=20,500,IF(Main[[#This Row],[Years of Service]]&gt;=15,300,IF(Main[[#This Row],[Years of Service]]&gt;=10,150,IF(Main[[#This Row],[Years of Service]]&gt;=5,75,0))))))</f>
        <v>150</v>
      </c>
      <c r="K118" s="9">
        <f ca="1">SUM(Main[[#This Row],[Longevity]],Main[[#This Row],[Yearly Salary]],Main[[#This Row],[Commission]])</f>
        <v>18339.599999999999</v>
      </c>
      <c r="L118" s="9" t="s">
        <v>35</v>
      </c>
      <c r="M118" s="11">
        <v>38787</v>
      </c>
      <c r="N118" s="12">
        <v>2032872619</v>
      </c>
      <c r="O118" s="13" t="s">
        <v>390</v>
      </c>
      <c r="P118" s="14" t="s">
        <v>391</v>
      </c>
      <c r="Q118" t="s">
        <v>42</v>
      </c>
      <c r="R118" s="16">
        <v>6518</v>
      </c>
      <c r="S118" s="12">
        <v>2038804775</v>
      </c>
      <c r="T118">
        <v>45</v>
      </c>
    </row>
    <row r="119" spans="1:20" x14ac:dyDescent="0.25">
      <c r="A119" s="8">
        <v>118</v>
      </c>
      <c r="B119" t="s">
        <v>392</v>
      </c>
      <c r="C119" t="s">
        <v>78</v>
      </c>
      <c r="D119" s="9">
        <f>IF(Main[[#This Row],[Department]]="Management",40,IF(Main[[#This Row],[Department]]="Sales",22,IF(Main[[#This Row],[Department]]="Human Resources",28,IF(Main[[#This Row],[Department]]="Marketing",26,IF(Main[[#This Row],[Department]]="Custodial",26,"Temp")))))</f>
        <v>26</v>
      </c>
      <c r="E119">
        <v>37.5</v>
      </c>
      <c r="F119" s="9">
        <f>(Main[[#This Row],[$/Hour]]*Main[[#This Row],[Hours/week]])*52</f>
        <v>50700</v>
      </c>
      <c r="G119" s="10" t="s">
        <v>312</v>
      </c>
      <c r="H119" s="10" t="str">
        <f>IF(ISNUMBER(Main[[#This Row],[Sales]]),Main[[#This Row],[Sales]]*0.03,"-")</f>
        <v>-</v>
      </c>
      <c r="I119">
        <f ca="1">DATEDIF(Main[[#This Row],[Date Hired]],TODAY(),"Y")</f>
        <v>23</v>
      </c>
      <c r="J119" s="9">
        <f ca="1">IF(Main[[#This Row],[Years of Service]]&gt;=30,1000,IF(Main[[#This Row],[Years of Service]]&gt;=25,750,IF(Main[[#This Row],[Years of Service]]&gt;=20,500,IF(Main[[#This Row],[Years of Service]]&gt;=15,300,IF(Main[[#This Row],[Years of Service]]&gt;=10,150,IF(Main[[#This Row],[Years of Service]]&gt;=5,75,0))))))</f>
        <v>500</v>
      </c>
      <c r="K119" s="9">
        <f ca="1">SUM(Main[[#This Row],[Longevity]],Main[[#This Row],[Yearly Salary]],Main[[#This Row],[Commission]])</f>
        <v>51200</v>
      </c>
      <c r="L119" s="9" t="s">
        <v>35</v>
      </c>
      <c r="M119" s="11">
        <v>34912</v>
      </c>
      <c r="N119" s="12">
        <v>2032872677</v>
      </c>
      <c r="O119" s="13" t="s">
        <v>174</v>
      </c>
      <c r="P119" s="14" t="s">
        <v>393</v>
      </c>
      <c r="Q119" t="s">
        <v>81</v>
      </c>
      <c r="R119" s="16">
        <v>6504</v>
      </c>
      <c r="S119" s="12">
        <v>2162673729</v>
      </c>
      <c r="T119">
        <v>41</v>
      </c>
    </row>
    <row r="120" spans="1:20" x14ac:dyDescent="0.25">
      <c r="A120" s="8">
        <v>119</v>
      </c>
      <c r="B120" t="s">
        <v>394</v>
      </c>
      <c r="C120" t="s">
        <v>13</v>
      </c>
      <c r="D120" s="9">
        <f>IF(Main[[#This Row],[Department]]="Management",40,IF(Main[[#This Row],[Department]]="Sales",22,IF(Main[[#This Row],[Department]]="Human Resources",28,IF(Main[[#This Row],[Department]]="Marketing",26,IF(Main[[#This Row],[Department]]="Custodial",26,"Temp")))))</f>
        <v>22</v>
      </c>
      <c r="E120">
        <v>37.5</v>
      </c>
      <c r="F120" s="9">
        <f>(Main[[#This Row],[$/Hour]]*Main[[#This Row],[Hours/week]])*52</f>
        <v>42900</v>
      </c>
      <c r="G120" s="10">
        <v>181350</v>
      </c>
      <c r="H120" s="10">
        <f>IF(ISNUMBER(Main[[#This Row],[Sales]]),Main[[#This Row],[Sales]]*0.03,"-")</f>
        <v>5440.5</v>
      </c>
      <c r="I120">
        <f ca="1">DATEDIF(Main[[#This Row],[Date Hired]],TODAY(),"Y")</f>
        <v>30</v>
      </c>
      <c r="J120" s="9">
        <f ca="1">IF(Main[[#This Row],[Years of Service]]&gt;=30,1000,IF(Main[[#This Row],[Years of Service]]&gt;=25,750,IF(Main[[#This Row],[Years of Service]]&gt;=20,500,IF(Main[[#This Row],[Years of Service]]&gt;=15,300,IF(Main[[#This Row],[Years of Service]]&gt;=10,150,IF(Main[[#This Row],[Years of Service]]&gt;=5,75,0))))))</f>
        <v>1000</v>
      </c>
      <c r="K120" s="9">
        <f ca="1">SUM(Main[[#This Row],[Longevity]],Main[[#This Row],[Yearly Salary]],Main[[#This Row],[Commission]])</f>
        <v>49340.5</v>
      </c>
      <c r="L120" s="9" t="s">
        <v>35</v>
      </c>
      <c r="M120" s="11">
        <v>32495</v>
      </c>
      <c r="N120" s="12">
        <v>2032872388</v>
      </c>
      <c r="O120" s="13" t="s">
        <v>395</v>
      </c>
      <c r="P120" s="14" t="s">
        <v>396</v>
      </c>
      <c r="Q120" t="s">
        <v>42</v>
      </c>
      <c r="R120" s="16">
        <v>6517</v>
      </c>
      <c r="S120" s="12">
        <v>2037925671</v>
      </c>
      <c r="T120">
        <v>64</v>
      </c>
    </row>
    <row r="121" spans="1:20" x14ac:dyDescent="0.25">
      <c r="B121">
        <f>SUBTOTAL(109,Main[Employees])</f>
        <v>0</v>
      </c>
      <c r="D121" s="16"/>
      <c r="F121" s="17">
        <f>SUBTOTAL(109,Main[Yearly Salary])</f>
        <v>3979092</v>
      </c>
      <c r="G121" s="17">
        <f>SUBTOTAL(109,Main[Sales])</f>
        <v>6952712</v>
      </c>
      <c r="H121" s="18">
        <f>SUBTOTAL(109,Main[Commission])</f>
        <v>208581.35999999996</v>
      </c>
      <c r="I121" s="19"/>
      <c r="J121" s="18">
        <f ca="1">SUBTOTAL(109,Main[Longevity])</f>
        <v>52800</v>
      </c>
      <c r="K121" s="20">
        <f ca="1">SUBTOTAL(109,Main[Total Payments])</f>
        <v>4240473.3599999994</v>
      </c>
      <c r="L121" s="21"/>
      <c r="M121" s="16"/>
      <c r="N121"/>
      <c r="R121"/>
      <c r="S121" s="16"/>
      <c r="T121">
        <f>SUBTOTAL(109,Main[Age])</f>
        <v>5578</v>
      </c>
    </row>
  </sheetData>
  <dataValidations count="1">
    <dataValidation type="custom" showInputMessage="1" showErrorMessage="1" errorTitle="ID# already exists" error="That ID number already exists, please pick another one." sqref="A2:A120">
      <formula1>COUNTIF($A$2:$A$120,A2)&lt;=1</formula1>
    </dataValidation>
  </dataValidations>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topLeftCell="C1" workbookViewId="0">
      <selection activeCell="F10" sqref="F10"/>
    </sheetView>
  </sheetViews>
  <sheetFormatPr defaultRowHeight="15" x14ac:dyDescent="0.25"/>
  <cols>
    <col min="2" max="2" width="29.7109375" bestFit="1" customWidth="1"/>
    <col min="4" max="4" width="30.42578125" bestFit="1" customWidth="1"/>
    <col min="5" max="6" width="29.7109375" bestFit="1" customWidth="1"/>
    <col min="7" max="7" width="27.5703125" bestFit="1" customWidth="1"/>
    <col min="8" max="9" width="30.42578125" bestFit="1" customWidth="1"/>
    <col min="10" max="10" width="27" bestFit="1" customWidth="1"/>
  </cols>
  <sheetData>
    <row r="1" spans="1:10" x14ac:dyDescent="0.25">
      <c r="A1" t="s">
        <v>0</v>
      </c>
      <c r="B1" s="1">
        <v>43466</v>
      </c>
    </row>
    <row r="2" spans="1:10" x14ac:dyDescent="0.25">
      <c r="A2" t="s">
        <v>1</v>
      </c>
      <c r="B2" s="1">
        <v>43486</v>
      </c>
    </row>
    <row r="3" spans="1:10" x14ac:dyDescent="0.25">
      <c r="A3" t="s">
        <v>2</v>
      </c>
      <c r="B3" s="1">
        <v>43514</v>
      </c>
      <c r="E3" s="11"/>
      <c r="F3" s="11"/>
    </row>
    <row r="4" spans="1:10" x14ac:dyDescent="0.25">
      <c r="A4" t="s">
        <v>3</v>
      </c>
      <c r="B4" s="1">
        <v>43574</v>
      </c>
      <c r="H4" s="11"/>
    </row>
    <row r="5" spans="1:10" x14ac:dyDescent="0.25">
      <c r="A5" t="s">
        <v>4</v>
      </c>
      <c r="B5" s="1">
        <v>43612</v>
      </c>
      <c r="E5" s="1"/>
    </row>
    <row r="6" spans="1:10" x14ac:dyDescent="0.25">
      <c r="A6" t="s">
        <v>5</v>
      </c>
      <c r="B6" s="1">
        <v>43650</v>
      </c>
    </row>
    <row r="7" spans="1:10" x14ac:dyDescent="0.25">
      <c r="A7" t="s">
        <v>6</v>
      </c>
      <c r="B7" s="1">
        <v>43710</v>
      </c>
      <c r="D7" s="1">
        <v>43466</v>
      </c>
      <c r="E7" s="1">
        <f>D7+1</f>
        <v>43467</v>
      </c>
      <c r="F7" s="1">
        <f t="shared" ref="F7:J7" si="0">E7+1</f>
        <v>43468</v>
      </c>
      <c r="G7" s="1">
        <f t="shared" si="0"/>
        <v>43469</v>
      </c>
      <c r="H7" s="1">
        <f t="shared" si="0"/>
        <v>43470</v>
      </c>
      <c r="I7" s="1">
        <f t="shared" si="0"/>
        <v>43471</v>
      </c>
      <c r="J7" s="1">
        <f t="shared" si="0"/>
        <v>43472</v>
      </c>
    </row>
    <row r="8" spans="1:10" x14ac:dyDescent="0.25">
      <c r="B8" s="1"/>
      <c r="D8" s="1"/>
      <c r="E8" s="1"/>
      <c r="F8" s="1"/>
      <c r="G8" s="1"/>
      <c r="H8" s="1"/>
      <c r="I8" s="1"/>
      <c r="J8" s="1"/>
    </row>
    <row r="9" spans="1:10" x14ac:dyDescent="0.25">
      <c r="B9" s="1"/>
      <c r="D9" s="1"/>
      <c r="E9" s="1"/>
      <c r="F9" s="1"/>
      <c r="G9" s="1"/>
      <c r="H9" s="1"/>
      <c r="I9" s="1"/>
      <c r="J9" s="1"/>
    </row>
    <row r="10" spans="1:10" x14ac:dyDescent="0.25">
      <c r="B10" s="1"/>
      <c r="D10" s="1"/>
      <c r="E10" s="1"/>
      <c r="F10" s="1"/>
      <c r="G10" s="1"/>
      <c r="H10" s="1"/>
      <c r="I10" s="1"/>
      <c r="J10" s="1"/>
    </row>
    <row r="11" spans="1:10" x14ac:dyDescent="0.25">
      <c r="B11" s="1"/>
      <c r="D11" s="1"/>
      <c r="E11" s="1"/>
      <c r="F11" s="1"/>
      <c r="G11" s="1"/>
      <c r="H11" s="1"/>
      <c r="I11" s="1"/>
      <c r="J11" s="1"/>
    </row>
    <row r="12" spans="1:10" x14ac:dyDescent="0.25">
      <c r="D12" s="1"/>
      <c r="E12" s="1"/>
      <c r="F12" s="1"/>
      <c r="G12" s="1"/>
      <c r="H12" s="1"/>
      <c r="I12" s="1"/>
      <c r="J12" s="1"/>
    </row>
    <row r="13" spans="1:10" x14ac:dyDescent="0.25">
      <c r="D13" s="1"/>
      <c r="E13" s="1"/>
      <c r="F13" s="1"/>
      <c r="G13" s="1"/>
      <c r="H13" s="1"/>
      <c r="I13" s="1"/>
      <c r="J13" s="1"/>
    </row>
    <row r="14" spans="1:10" x14ac:dyDescent="0.25">
      <c r="D14" s="1"/>
      <c r="E14" s="1"/>
      <c r="F14" s="1"/>
      <c r="G14" s="1"/>
      <c r="H14" s="1"/>
      <c r="I14" s="1"/>
      <c r="J14" s="1"/>
    </row>
    <row r="15" spans="1:10" x14ac:dyDescent="0.25">
      <c r="D15" s="1"/>
      <c r="E15" s="1"/>
      <c r="F15" s="1"/>
      <c r="G15" s="1"/>
      <c r="H15" s="1"/>
      <c r="I15" s="1"/>
      <c r="J15" s="1"/>
    </row>
    <row r="16" spans="1:10" x14ac:dyDescent="0.25">
      <c r="D16" s="1"/>
      <c r="E16" s="1"/>
      <c r="F16" s="1"/>
      <c r="G16" s="1"/>
      <c r="H16" s="1"/>
      <c r="I16" s="1"/>
      <c r="J16" s="1"/>
    </row>
    <row r="17" spans="4:10" x14ac:dyDescent="0.25">
      <c r="D17" s="1"/>
      <c r="E17" s="1"/>
      <c r="F17" s="1"/>
      <c r="G17" s="1"/>
      <c r="H17" s="1"/>
      <c r="I17" s="1"/>
      <c r="J17" s="1"/>
    </row>
    <row r="18" spans="4:10" x14ac:dyDescent="0.25">
      <c r="D18" s="1"/>
      <c r="E18" s="1"/>
      <c r="F18" s="1"/>
      <c r="G18" s="1"/>
      <c r="H18" s="1"/>
      <c r="I18" s="1"/>
      <c r="J18" s="1"/>
    </row>
    <row r="19" spans="4:10" x14ac:dyDescent="0.25">
      <c r="D19" s="1"/>
      <c r="E19" s="1"/>
      <c r="F19" s="1"/>
      <c r="G19" s="1"/>
      <c r="H19" s="1"/>
      <c r="I19" s="1"/>
      <c r="J19" s="1"/>
    </row>
    <row r="20" spans="4:10" x14ac:dyDescent="0.25">
      <c r="D20" s="1"/>
      <c r="E20" s="1"/>
      <c r="F20" s="1"/>
      <c r="G20" s="1"/>
      <c r="H20" s="1"/>
      <c r="I20" s="1"/>
      <c r="J20" s="1"/>
    </row>
    <row r="21" spans="4:10" x14ac:dyDescent="0.25">
      <c r="D21" s="1"/>
      <c r="E21" s="1"/>
      <c r="F21" s="1"/>
      <c r="G21" s="1"/>
      <c r="H21" s="1"/>
      <c r="I21" s="1"/>
      <c r="J21" s="1"/>
    </row>
    <row r="22" spans="4:10" x14ac:dyDescent="0.25">
      <c r="D22" s="1"/>
      <c r="E22" s="1"/>
      <c r="F22" s="1"/>
      <c r="G22" s="1"/>
      <c r="H22" s="1"/>
      <c r="I22" s="1"/>
      <c r="J22" s="1"/>
    </row>
    <row r="23" spans="4:10" x14ac:dyDescent="0.25">
      <c r="D23" s="1"/>
      <c r="E23" s="1"/>
      <c r="F23" s="1"/>
      <c r="G23" s="1"/>
      <c r="H23" s="1"/>
      <c r="I23" s="1"/>
      <c r="J23" s="1"/>
    </row>
    <row r="24" spans="4:10" x14ac:dyDescent="0.25">
      <c r="D24" s="1"/>
      <c r="E24" s="1"/>
      <c r="F24" s="1"/>
      <c r="G24" s="1"/>
      <c r="H24" s="1"/>
      <c r="I24" s="1"/>
      <c r="J24" s="1"/>
    </row>
    <row r="25" spans="4:10" x14ac:dyDescent="0.25">
      <c r="D25" s="1"/>
      <c r="E25" s="1"/>
      <c r="F25" s="1"/>
      <c r="G25" s="1"/>
      <c r="H25" s="1"/>
      <c r="I25" s="1"/>
      <c r="J25" s="1"/>
    </row>
    <row r="26" spans="4:10" x14ac:dyDescent="0.25">
      <c r="D26" s="1"/>
      <c r="E26" s="1"/>
      <c r="F26" s="1"/>
      <c r="G26" s="1"/>
      <c r="H26" s="1"/>
      <c r="I26" s="1"/>
      <c r="J26" s="1"/>
    </row>
    <row r="27" spans="4:10" x14ac:dyDescent="0.25">
      <c r="D27" s="1"/>
      <c r="E27" s="1"/>
      <c r="F27" s="1"/>
      <c r="G27" s="1"/>
      <c r="H27" s="1"/>
      <c r="I27" s="1"/>
      <c r="J27" s="1"/>
    </row>
    <row r="28" spans="4:10" x14ac:dyDescent="0.25">
      <c r="D28" s="1"/>
      <c r="E28" s="1"/>
      <c r="F28" s="1"/>
      <c r="G28" s="1"/>
      <c r="H28" s="1"/>
      <c r="I28" s="1"/>
      <c r="J28" s="1"/>
    </row>
    <row r="29" spans="4:10" x14ac:dyDescent="0.25">
      <c r="D29" s="1"/>
      <c r="E29" s="1"/>
      <c r="F29" s="1"/>
      <c r="G29" s="1"/>
      <c r="H29" s="1"/>
      <c r="I29" s="1"/>
      <c r="J29" s="1"/>
    </row>
    <row r="30" spans="4:10" x14ac:dyDescent="0.25">
      <c r="D30" s="1"/>
      <c r="E30" s="1"/>
      <c r="F30" s="1"/>
      <c r="G30" s="1"/>
      <c r="H30" s="1"/>
      <c r="I30" s="1"/>
      <c r="J30" s="1"/>
    </row>
    <row r="31" spans="4:10" x14ac:dyDescent="0.25">
      <c r="D31" s="1"/>
      <c r="E31" s="1"/>
      <c r="F31" s="1"/>
      <c r="G31" s="1"/>
      <c r="H31" s="1"/>
      <c r="I31" s="1"/>
      <c r="J31" s="1"/>
    </row>
    <row r="32" spans="4:10" x14ac:dyDescent="0.25">
      <c r="D32" s="1"/>
      <c r="E32" s="1"/>
      <c r="F32" s="1"/>
      <c r="G32" s="1"/>
      <c r="H32" s="1"/>
      <c r="I32" s="1"/>
      <c r="J32" s="1"/>
    </row>
    <row r="33" spans="4:10" x14ac:dyDescent="0.25">
      <c r="D33" s="1"/>
      <c r="E33" s="1"/>
      <c r="F33" s="1"/>
      <c r="G33" s="1"/>
      <c r="H33" s="1"/>
      <c r="I33" s="1"/>
      <c r="J33" s="1"/>
    </row>
    <row r="34" spans="4:10" x14ac:dyDescent="0.25">
      <c r="D34" s="1"/>
      <c r="E34" s="1"/>
      <c r="F34" s="1"/>
      <c r="G34" s="1"/>
      <c r="H34" s="1"/>
      <c r="I34" s="1"/>
      <c r="J34" s="1"/>
    </row>
    <row r="35" spans="4:10" x14ac:dyDescent="0.25">
      <c r="D35" s="1"/>
      <c r="E35" s="1"/>
      <c r="F35" s="1"/>
      <c r="G35" s="1"/>
      <c r="H35" s="1"/>
      <c r="I35" s="1"/>
      <c r="J35" s="1"/>
    </row>
    <row r="36" spans="4:10" x14ac:dyDescent="0.25">
      <c r="D36" s="1"/>
      <c r="E36" s="1"/>
      <c r="F36" s="1"/>
      <c r="G36" s="1"/>
      <c r="H36" s="1"/>
      <c r="I36" s="1"/>
      <c r="J36" s="1"/>
    </row>
    <row r="37" spans="4:10" x14ac:dyDescent="0.25">
      <c r="D37" s="1"/>
      <c r="E37" s="1"/>
      <c r="F37" s="1"/>
      <c r="G37" s="1"/>
      <c r="H37" s="1"/>
      <c r="I37" s="1"/>
      <c r="J37" s="1"/>
    </row>
    <row r="38" spans="4:10" x14ac:dyDescent="0.25">
      <c r="D38" s="1"/>
      <c r="E38" s="1"/>
      <c r="F38" s="1"/>
      <c r="G38" s="1"/>
      <c r="H38" s="1"/>
      <c r="I38" s="1"/>
      <c r="J38" s="1"/>
    </row>
    <row r="39" spans="4:10" x14ac:dyDescent="0.25">
      <c r="D39" s="1"/>
      <c r="E39" s="1"/>
      <c r="F39" s="1"/>
      <c r="G39" s="1"/>
      <c r="H39" s="1"/>
      <c r="I39" s="1"/>
      <c r="J39" s="1"/>
    </row>
    <row r="40" spans="4:10" x14ac:dyDescent="0.25">
      <c r="D40" s="1"/>
      <c r="E40" s="1"/>
      <c r="F40" s="1"/>
      <c r="G40" s="1"/>
      <c r="H40" s="1"/>
      <c r="I40" s="1"/>
      <c r="J40" s="1"/>
    </row>
    <row r="41" spans="4:10" x14ac:dyDescent="0.25">
      <c r="D41" s="1"/>
      <c r="E41" s="1"/>
      <c r="F41" s="1"/>
      <c r="G41" s="1"/>
      <c r="H41" s="1"/>
      <c r="I41" s="1"/>
      <c r="J41" s="1"/>
    </row>
    <row r="42" spans="4:10" x14ac:dyDescent="0.25">
      <c r="D42" s="1"/>
      <c r="E42" s="1"/>
      <c r="F42" s="1"/>
      <c r="G42" s="1"/>
      <c r="H42" s="1"/>
      <c r="I42" s="1"/>
      <c r="J42" s="1"/>
    </row>
    <row r="43" spans="4:10" x14ac:dyDescent="0.25">
      <c r="D43" s="1"/>
      <c r="E43" s="1"/>
      <c r="F43" s="1"/>
      <c r="G43" s="1"/>
      <c r="H43" s="1"/>
      <c r="I43" s="1"/>
      <c r="J43" s="1"/>
    </row>
    <row r="44" spans="4:10" x14ac:dyDescent="0.25">
      <c r="D44" s="1"/>
      <c r="E44" s="1"/>
      <c r="F44" s="1"/>
      <c r="G44" s="1"/>
      <c r="H44" s="1"/>
      <c r="I44" s="1"/>
      <c r="J44" s="1"/>
    </row>
    <row r="45" spans="4:10" x14ac:dyDescent="0.25">
      <c r="D45" s="1"/>
      <c r="E45" s="1"/>
      <c r="F45" s="1"/>
      <c r="G45" s="1"/>
      <c r="H45" s="1"/>
      <c r="I45" s="1"/>
      <c r="J45" s="1"/>
    </row>
    <row r="46" spans="4:10" x14ac:dyDescent="0.25">
      <c r="D46" s="1"/>
      <c r="E46" s="1"/>
      <c r="F46" s="1"/>
      <c r="G46" s="1"/>
      <c r="H46" s="1"/>
      <c r="I46" s="1"/>
      <c r="J46" s="1"/>
    </row>
    <row r="47" spans="4:10" x14ac:dyDescent="0.25">
      <c r="D47" s="1"/>
      <c r="E47" s="1"/>
      <c r="F47" s="1"/>
      <c r="G47" s="1"/>
      <c r="H47" s="1"/>
      <c r="I47" s="1"/>
      <c r="J47" s="1"/>
    </row>
    <row r="48" spans="4:10" x14ac:dyDescent="0.25">
      <c r="D48" s="1"/>
      <c r="E48" s="1"/>
      <c r="F48" s="1"/>
      <c r="G48" s="1"/>
      <c r="H48" s="1"/>
      <c r="I48" s="1"/>
      <c r="J48" s="1"/>
    </row>
    <row r="49" spans="4:10" x14ac:dyDescent="0.25">
      <c r="D49" s="1"/>
      <c r="E49" s="1"/>
      <c r="F49" s="1"/>
      <c r="G49" s="1"/>
      <c r="H49" s="1"/>
      <c r="I49" s="1"/>
      <c r="J49" s="1"/>
    </row>
    <row r="50" spans="4:10" x14ac:dyDescent="0.25">
      <c r="D50" s="1"/>
      <c r="E50" s="1"/>
      <c r="F50" s="1"/>
      <c r="G50" s="1"/>
      <c r="H50" s="1"/>
      <c r="I50" s="1"/>
      <c r="J50" s="1"/>
    </row>
    <row r="51" spans="4:10" x14ac:dyDescent="0.25">
      <c r="D51" s="1"/>
      <c r="E51" s="1"/>
      <c r="F51" s="1"/>
      <c r="G51" s="1"/>
      <c r="H51" s="1"/>
      <c r="I51" s="1"/>
      <c r="J51" s="1"/>
    </row>
    <row r="52" spans="4:10" x14ac:dyDescent="0.25">
      <c r="D52" s="1"/>
      <c r="E52" s="1"/>
      <c r="F52" s="1"/>
      <c r="G52" s="1"/>
      <c r="H52" s="1"/>
      <c r="I52" s="1"/>
      <c r="J52" s="1"/>
    </row>
    <row r="53" spans="4:10" x14ac:dyDescent="0.25">
      <c r="D53" s="1"/>
      <c r="E53" s="1"/>
      <c r="F53" s="1"/>
      <c r="G53" s="1"/>
      <c r="H53" s="1"/>
      <c r="I53" s="1"/>
      <c r="J53" s="1"/>
    </row>
    <row r="54" spans="4:10" x14ac:dyDescent="0.25">
      <c r="D54" s="1"/>
      <c r="E54" s="1"/>
      <c r="F54" s="1"/>
      <c r="G54" s="1"/>
      <c r="H54" s="1"/>
      <c r="I54" s="1"/>
      <c r="J54" s="1"/>
    </row>
    <row r="55" spans="4:10" x14ac:dyDescent="0.25">
      <c r="D55" s="1"/>
      <c r="E55" s="1"/>
      <c r="F55" s="1"/>
      <c r="G55" s="1"/>
      <c r="H55" s="1"/>
      <c r="I55" s="1"/>
      <c r="J55" s="1"/>
    </row>
    <row r="56" spans="4:10" x14ac:dyDescent="0.25">
      <c r="D56" s="1"/>
      <c r="E56" s="1"/>
      <c r="F56" s="1"/>
      <c r="G56" s="1"/>
      <c r="H56" s="1"/>
      <c r="I56" s="1"/>
      <c r="J56" s="1"/>
    </row>
    <row r="57" spans="4:10" x14ac:dyDescent="0.25">
      <c r="D57" s="1"/>
      <c r="E57" s="1"/>
      <c r="F57" s="1"/>
      <c r="G57" s="1"/>
      <c r="H57" s="1"/>
      <c r="I57" s="1"/>
      <c r="J57" s="1"/>
    </row>
    <row r="58" spans="4:10" x14ac:dyDescent="0.25">
      <c r="D58" s="1"/>
      <c r="E58" s="1"/>
      <c r="F58" s="1"/>
      <c r="G58" s="1"/>
      <c r="H58" s="1"/>
      <c r="I58" s="1"/>
      <c r="J58" s="1"/>
    </row>
    <row r="59" spans="4:10" x14ac:dyDescent="0.25">
      <c r="D59" s="1"/>
      <c r="E59" s="1"/>
      <c r="F59" s="1"/>
      <c r="G59" s="1"/>
      <c r="H59" s="1"/>
      <c r="I59" s="1"/>
      <c r="J59" s="1"/>
    </row>
    <row r="60" spans="4:10" x14ac:dyDescent="0.25">
      <c r="D60" s="1"/>
      <c r="E60" s="1"/>
      <c r="F60" s="1"/>
      <c r="G60" s="1"/>
      <c r="H60" s="1"/>
      <c r="I60" s="1"/>
      <c r="J60" s="1"/>
    </row>
    <row r="61" spans="4:10" x14ac:dyDescent="0.25">
      <c r="D61" s="1"/>
      <c r="E61" s="1"/>
      <c r="F61" s="1"/>
      <c r="G61" s="1"/>
      <c r="H61" s="1"/>
      <c r="I61" s="1"/>
      <c r="J61" s="1"/>
    </row>
    <row r="62" spans="4:10" x14ac:dyDescent="0.25">
      <c r="D62" s="1"/>
      <c r="E62" s="1"/>
      <c r="F62" s="1"/>
      <c r="G62" s="1"/>
      <c r="H62" s="1"/>
      <c r="I62" s="1"/>
      <c r="J62" s="1"/>
    </row>
    <row r="63" spans="4:10" x14ac:dyDescent="0.25">
      <c r="D63" s="1"/>
      <c r="E63" s="1"/>
      <c r="F63" s="1"/>
      <c r="G63" s="1"/>
      <c r="H63" s="1"/>
      <c r="I63" s="1"/>
      <c r="J63" s="1"/>
    </row>
    <row r="64" spans="4:10" x14ac:dyDescent="0.25">
      <c r="D64" s="1"/>
      <c r="E64" s="1"/>
      <c r="F64" s="1"/>
      <c r="G64" s="1"/>
      <c r="H64" s="1"/>
      <c r="I64" s="1"/>
      <c r="J64" s="1"/>
    </row>
    <row r="65" spans="4:10" x14ac:dyDescent="0.25">
      <c r="D65" s="1"/>
      <c r="E65" s="1"/>
      <c r="F65" s="1"/>
      <c r="G65" s="1"/>
      <c r="H65" s="1"/>
      <c r="I65" s="1"/>
      <c r="J65" s="1"/>
    </row>
    <row r="66" spans="4:10" x14ac:dyDescent="0.25">
      <c r="D66" s="1"/>
      <c r="E66" s="1"/>
      <c r="F66" s="1"/>
      <c r="G66" s="1"/>
      <c r="H66" s="1"/>
      <c r="I66" s="1"/>
      <c r="J66" s="1"/>
    </row>
    <row r="67" spans="4:10" x14ac:dyDescent="0.25">
      <c r="D67" s="1"/>
      <c r="E67" s="1"/>
      <c r="F67" s="1"/>
      <c r="G67" s="1"/>
      <c r="H67" s="1"/>
      <c r="I67" s="1"/>
      <c r="J67" s="1"/>
    </row>
    <row r="68" spans="4:10" x14ac:dyDescent="0.25">
      <c r="D68" s="1"/>
      <c r="E68" s="1"/>
      <c r="F68" s="1"/>
      <c r="G68" s="1"/>
      <c r="H68" s="1"/>
      <c r="I68" s="1"/>
      <c r="J68" s="1"/>
    </row>
    <row r="69" spans="4:10" x14ac:dyDescent="0.25">
      <c r="D69" s="1"/>
      <c r="E69" s="1"/>
      <c r="F69" s="1"/>
      <c r="G69" s="1"/>
      <c r="H69" s="1"/>
      <c r="I69" s="1"/>
      <c r="J69" s="1"/>
    </row>
    <row r="70" spans="4:10" x14ac:dyDescent="0.25">
      <c r="D70" s="1"/>
      <c r="E70" s="1"/>
      <c r="F70" s="1"/>
      <c r="G70" s="1"/>
      <c r="H70" s="1"/>
      <c r="I70" s="1"/>
      <c r="J70" s="1"/>
    </row>
    <row r="71" spans="4:10" x14ac:dyDescent="0.25">
      <c r="D71" s="1"/>
      <c r="E71" s="1"/>
      <c r="F71" s="1"/>
      <c r="G71" s="1"/>
      <c r="H71" s="1"/>
      <c r="I71" s="1"/>
      <c r="J71" s="1"/>
    </row>
    <row r="72" spans="4:10" x14ac:dyDescent="0.25">
      <c r="D72" s="1"/>
      <c r="E72" s="1"/>
      <c r="F72" s="1"/>
      <c r="G72" s="1"/>
      <c r="H72" s="1"/>
      <c r="I72" s="1"/>
      <c r="J72" s="1"/>
    </row>
    <row r="73" spans="4:10" x14ac:dyDescent="0.25">
      <c r="D73" s="1"/>
      <c r="E73" s="1"/>
      <c r="F73" s="1"/>
      <c r="G73" s="1"/>
      <c r="H73" s="1"/>
      <c r="I73" s="1"/>
      <c r="J73" s="1"/>
    </row>
    <row r="74" spans="4:10" x14ac:dyDescent="0.25">
      <c r="D74" s="1"/>
      <c r="E74" s="1"/>
      <c r="F74" s="1"/>
      <c r="G74" s="1"/>
      <c r="H74" s="1"/>
      <c r="I74" s="1"/>
      <c r="J74" s="1"/>
    </row>
    <row r="75" spans="4:10" x14ac:dyDescent="0.25">
      <c r="D75" s="1"/>
      <c r="E75" s="1"/>
      <c r="F75" s="1"/>
      <c r="G75" s="1"/>
      <c r="H75" s="1"/>
      <c r="I75" s="1"/>
      <c r="J75" s="1"/>
    </row>
    <row r="76" spans="4:10" x14ac:dyDescent="0.25">
      <c r="D76" s="1"/>
      <c r="E76" s="1"/>
      <c r="F76" s="1"/>
      <c r="G76" s="1"/>
      <c r="H76" s="1"/>
      <c r="I76" s="1"/>
      <c r="J76"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zoomScale="300" zoomScaleNormal="300" workbookViewId="0">
      <selection activeCell="C5" sqref="C5"/>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175" zoomScaleNormal="175" workbookViewId="0">
      <selection activeCell="B6" sqref="B6"/>
    </sheetView>
  </sheetViews>
  <sheetFormatPr defaultRowHeight="15" x14ac:dyDescent="0.25"/>
  <cols>
    <col min="1" max="1" width="21.5703125" bestFit="1" customWidth="1"/>
    <col min="2" max="2" width="16.85546875" bestFit="1" customWidth="1"/>
    <col min="3" max="3" width="21.5703125" bestFit="1" customWidth="1"/>
    <col min="4" max="4" width="16.85546875" bestFit="1" customWidth="1"/>
    <col min="5" max="5" width="14.140625" customWidth="1"/>
    <col min="6" max="7" width="11" customWidth="1"/>
  </cols>
  <sheetData>
    <row r="1" spans="1:5" x14ac:dyDescent="0.25">
      <c r="A1" t="s">
        <v>397</v>
      </c>
      <c r="B1" t="s">
        <v>9</v>
      </c>
      <c r="C1" t="s">
        <v>10</v>
      </c>
      <c r="D1" t="s">
        <v>398</v>
      </c>
      <c r="E1" t="s">
        <v>399</v>
      </c>
    </row>
    <row r="2" spans="1:5" x14ac:dyDescent="0.25">
      <c r="A2" t="s">
        <v>47</v>
      </c>
      <c r="B2" t="s">
        <v>28</v>
      </c>
      <c r="C2" s="10">
        <f>IF(Table1[[#This Row],[Department]]="Management",40,IF(Table1[[#This Row],[Department]]="Sales",22,IF(Table1[[#This Row],[Department]]="Marketing",28,IF(Table1[[#This Row],[Department]]="Human Resources",28,IF(Table1[[#This Row],[Department]]="Custodial",26,IF(Table1[[#This Row],[Department]]="Temp",15,0))))))</f>
        <v>40</v>
      </c>
      <c r="D2" s="40">
        <v>35</v>
      </c>
      <c r="E2" s="9">
        <f>Table1[[#This Row],[$/Hour]]*Table1[[#This Row],[hrs/week]]*52</f>
        <v>72800</v>
      </c>
    </row>
    <row r="3" spans="1:5" x14ac:dyDescent="0.25">
      <c r="A3" t="s">
        <v>51</v>
      </c>
      <c r="B3" t="s">
        <v>13</v>
      </c>
      <c r="C3" s="10">
        <f>IF(Table1[[#This Row],[Department]]="Management",40,IF(Table1[[#This Row],[Department]]="Sales",22,IF(Table1[[#This Row],[Department]]="Marketing",28,IF(Table1[[#This Row],[Department]]="Human Resources",28,IF(Table1[[#This Row],[Department]]="Custodial",26,IF(Table1[[#This Row],[Department]]="Temp",15,0))))))</f>
        <v>22</v>
      </c>
      <c r="D3" s="40">
        <v>37.5</v>
      </c>
      <c r="E3" s="9">
        <f>Table1[[#This Row],[$/Hour]]*Table1[[#This Row],[hrs/week]]*52</f>
        <v>42900</v>
      </c>
    </row>
    <row r="4" spans="1:5" x14ac:dyDescent="0.25">
      <c r="A4" t="s">
        <v>54</v>
      </c>
      <c r="B4" t="s">
        <v>13</v>
      </c>
      <c r="C4" s="10">
        <f>IF(Table1[[#This Row],[Department]]="Management",40,IF(Table1[[#This Row],[Department]]="Sales",22,IF(Table1[[#This Row],[Department]]="Marketing",28,IF(Table1[[#This Row],[Department]]="Human Resources",28,IF(Table1[[#This Row],[Department]]="Custodial",26,IF(Table1[[#This Row],[Department]]="Temp",15,0))))))</f>
        <v>22</v>
      </c>
      <c r="D4" s="40">
        <v>35</v>
      </c>
      <c r="E4" s="9">
        <f>Table1[[#This Row],[$/Hour]]*Table1[[#This Row],[hrs/week]]*52</f>
        <v>40040</v>
      </c>
    </row>
    <row r="5" spans="1:5" x14ac:dyDescent="0.25">
      <c r="A5" t="s">
        <v>57</v>
      </c>
      <c r="B5" t="s">
        <v>13</v>
      </c>
      <c r="C5" s="10">
        <f>IF(Table1[[#This Row],[Department]]="Management",40,IF(Table1[[#This Row],[Department]]="Sales",22,IF(Table1[[#This Row],[Department]]="Marketing",28,IF(Table1[[#This Row],[Department]]="Human Resources",28,IF(Table1[[#This Row],[Department]]="Custodial",26,IF(Table1[[#This Row],[Department]]="Temp",15,0))))))</f>
        <v>22</v>
      </c>
      <c r="D5" s="40">
        <v>19.5</v>
      </c>
      <c r="E5" s="9">
        <f>Table1[[#This Row],[$/Hour]]*Table1[[#This Row],[hrs/week]]*52</f>
        <v>22308</v>
      </c>
    </row>
    <row r="6" spans="1:5" x14ac:dyDescent="0.25">
      <c r="A6" t="s">
        <v>61</v>
      </c>
      <c r="B6" t="s">
        <v>62</v>
      </c>
      <c r="C6" s="10">
        <f>IF(Table1[[#This Row],[Department]]="Management",40,IF(Table1[[#This Row],[Department]]="Sales",22,IF(Table1[[#This Row],[Department]]="Marketing",28,IF(Table1[[#This Row],[Department]]="Human Resources",28,IF(Table1[[#This Row],[Department]]="Custodial",26,IF(Table1[[#This Row],[Department]]="Temp",15,0))))))</f>
        <v>28</v>
      </c>
      <c r="D6" s="40">
        <v>35</v>
      </c>
      <c r="E6" s="9">
        <f>Table1[[#This Row],[$/Hour]]*Table1[[#This Row],[hrs/week]]*52</f>
        <v>50960</v>
      </c>
    </row>
    <row r="7" spans="1:5" x14ac:dyDescent="0.25">
      <c r="A7" t="s">
        <v>65</v>
      </c>
      <c r="B7" t="s">
        <v>13</v>
      </c>
      <c r="C7" s="10">
        <f>IF(Table1[[#This Row],[Department]]="Management",40,IF(Table1[[#This Row],[Department]]="Sales",22,IF(Table1[[#This Row],[Department]]="Marketing",28,IF(Table1[[#This Row],[Department]]="Human Resources",28,IF(Table1[[#This Row],[Department]]="Custodial",26,IF(Table1[[#This Row],[Department]]="Temp",15,0))))))</f>
        <v>22</v>
      </c>
      <c r="D7" s="40">
        <v>35</v>
      </c>
      <c r="E7" s="9">
        <f>Table1[[#This Row],[$/Hour]]*Table1[[#This Row],[hrs/week]]*52</f>
        <v>40040</v>
      </c>
    </row>
    <row r="8" spans="1:5" x14ac:dyDescent="0.25">
      <c r="A8" t="s">
        <v>68</v>
      </c>
      <c r="B8" t="s">
        <v>62</v>
      </c>
      <c r="C8" s="10">
        <f>IF(Table1[[#This Row],[Department]]="Management",40,IF(Table1[[#This Row],[Department]]="Sales",22,IF(Table1[[#This Row],[Department]]="Marketing",28,IF(Table1[[#This Row],[Department]]="Human Resources",28,IF(Table1[[#This Row],[Department]]="Custodial",26,IF(Table1[[#This Row],[Department]]="Temp",15,0))))))</f>
        <v>28</v>
      </c>
      <c r="D8" s="40">
        <v>19.5</v>
      </c>
      <c r="E8" s="9">
        <f>Table1[[#This Row],[$/Hour]]*Table1[[#This Row],[hrs/week]]*52</f>
        <v>28392</v>
      </c>
    </row>
    <row r="9" spans="1:5" x14ac:dyDescent="0.25">
      <c r="A9" t="s">
        <v>71</v>
      </c>
      <c r="B9" t="s">
        <v>13</v>
      </c>
      <c r="C9" s="10">
        <f>IF(Table1[[#This Row],[Department]]="Management",40,IF(Table1[[#This Row],[Department]]="Sales",22,IF(Table1[[#This Row],[Department]]="Marketing",28,IF(Table1[[#This Row],[Department]]="Human Resources",28,IF(Table1[[#This Row],[Department]]="Custodial",26,IF(Table1[[#This Row],[Department]]="Temp",15,0))))))</f>
        <v>22</v>
      </c>
      <c r="D9" s="40">
        <v>37.5</v>
      </c>
      <c r="E9" s="9">
        <f>Table1[[#This Row],[$/Hour]]*Table1[[#This Row],[hrs/week]]*52</f>
        <v>42900</v>
      </c>
    </row>
    <row r="10" spans="1:5" x14ac:dyDescent="0.25">
      <c r="A10" t="s">
        <v>74</v>
      </c>
      <c r="B10" t="s">
        <v>58</v>
      </c>
      <c r="C10" s="10">
        <f>IF(Table1[[#This Row],[Department]]="Management",40,IF(Table1[[#This Row],[Department]]="Sales",22,IF(Table1[[#This Row],[Department]]="Marketing",28,IF(Table1[[#This Row],[Department]]="Human Resources",28,IF(Table1[[#This Row],[Department]]="Custodial",26,IF(Table1[[#This Row],[Department]]="Temp",15,0))))))</f>
        <v>28</v>
      </c>
      <c r="D10" s="40">
        <v>37.5</v>
      </c>
      <c r="E10" s="9">
        <f>Table1[[#This Row],[$/Hour]]*Table1[[#This Row],[hrs/week]]*52</f>
        <v>54600</v>
      </c>
    </row>
    <row r="11" spans="1:5" x14ac:dyDescent="0.25">
      <c r="A11" t="s">
        <v>77</v>
      </c>
      <c r="B11" t="s">
        <v>78</v>
      </c>
      <c r="C11" s="10">
        <f>IF(Table1[[#This Row],[Department]]="Management",40,IF(Table1[[#This Row],[Department]]="Sales",22,IF(Table1[[#This Row],[Department]]="Marketing",28,IF(Table1[[#This Row],[Department]]="Human Resources",28,IF(Table1[[#This Row],[Department]]="Custodial",26,IF(Table1[[#This Row],[Department]]="Temp",15,0))))))</f>
        <v>26</v>
      </c>
      <c r="D11" s="40">
        <v>15</v>
      </c>
      <c r="E11" s="9">
        <f>Table1[[#This Row],[$/Hour]]*Table1[[#This Row],[hrs/week]]*52</f>
        <v>20280</v>
      </c>
    </row>
    <row r="14" spans="1:5" x14ac:dyDescent="0.25">
      <c r="B14" s="27" t="s">
        <v>424</v>
      </c>
      <c r="C14" s="27" t="s">
        <v>400</v>
      </c>
      <c r="D14" s="27" t="s">
        <v>417</v>
      </c>
    </row>
    <row r="15" spans="1:5" x14ac:dyDescent="0.25">
      <c r="B15" s="27" t="s">
        <v>418</v>
      </c>
      <c r="C15" s="27">
        <f>COUNTIF(Table1[hrs/week],"&gt;=30")</f>
        <v>7</v>
      </c>
      <c r="D15" s="27">
        <f>COUNTIF(Table1[hrs/week],"&lt;30")</f>
        <v>3</v>
      </c>
    </row>
    <row r="16" spans="1:5" x14ac:dyDescent="0.25">
      <c r="B16" s="27" t="s">
        <v>419</v>
      </c>
      <c r="C16" s="28">
        <f>SUMIF(Table1[hrs/week],"&gt;=30",Table1[Yr Salary])</f>
        <v>344240</v>
      </c>
      <c r="D16" s="28">
        <f>SUMIF(Table1[hrs/week],"&lt;30",Table1[Yr Salary])</f>
        <v>70980</v>
      </c>
    </row>
    <row r="17" spans="2:5" x14ac:dyDescent="0.25">
      <c r="B17" s="27" t="s">
        <v>420</v>
      </c>
      <c r="C17" s="28">
        <f>AVERAGEIF(Table1[hrs/week],"&gt;=30",Table1[Yr Salary])</f>
        <v>49177.142857142855</v>
      </c>
      <c r="D17" s="28">
        <f>AVERAGEIF(Table1[hrs/week],"&lt;30",Table1[Yr Salary])</f>
        <v>23660</v>
      </c>
    </row>
    <row r="19" spans="2:5" x14ac:dyDescent="0.25">
      <c r="B19" s="27" t="s">
        <v>9</v>
      </c>
      <c r="C19" s="27" t="s">
        <v>421</v>
      </c>
      <c r="D19" s="27" t="s">
        <v>422</v>
      </c>
      <c r="E19" s="27" t="s">
        <v>423</v>
      </c>
    </row>
    <row r="20" spans="2:5" x14ac:dyDescent="0.25">
      <c r="B20" s="27" t="s">
        <v>28</v>
      </c>
      <c r="C20" s="28">
        <f>SUMIF(Table1[Department],"Management",Table1[Yr Salary])</f>
        <v>72800</v>
      </c>
      <c r="D20" s="28">
        <f>AVERAGEIF(Table1[Department],"management",Table1[Yr Salary])</f>
        <v>72800</v>
      </c>
      <c r="E20" s="27">
        <f>COUNTIF(Table1[Department],"Management")</f>
        <v>1</v>
      </c>
    </row>
    <row r="21" spans="2:5" x14ac:dyDescent="0.25">
      <c r="B21" s="27" t="s">
        <v>13</v>
      </c>
      <c r="C21" s="28">
        <f>SUMIF(Table1[Department],B21,Table1[Yr Salary])</f>
        <v>188188</v>
      </c>
      <c r="D21" s="28">
        <f>AVERAGEIF(Table1[Department],B21,Table1[Yr Salary])</f>
        <v>37637.599999999999</v>
      </c>
      <c r="E21" s="27">
        <f>COUNTIF(Table1[Department],B21)</f>
        <v>5</v>
      </c>
    </row>
    <row r="22" spans="2:5" x14ac:dyDescent="0.25">
      <c r="B22" s="27" t="s">
        <v>78</v>
      </c>
      <c r="C22" s="28">
        <f>SUMIF(Table1[Department],B22,Table1[Yr Salary])</f>
        <v>20280</v>
      </c>
      <c r="D22" s="28">
        <f>AVERAGEIF(Table1[Department],B22,Table1[Yr Salary])</f>
        <v>20280</v>
      </c>
      <c r="E22" s="27">
        <f>COUNTIF(Table1[Department],B22)</f>
        <v>1</v>
      </c>
    </row>
    <row r="23" spans="2:5" x14ac:dyDescent="0.25">
      <c r="B23" s="27" t="s">
        <v>58</v>
      </c>
      <c r="C23" s="28">
        <f>SUMIF(Table1[Department],B23,Table1[Yr Salary])</f>
        <v>54600</v>
      </c>
      <c r="D23" s="28">
        <f>AVERAGEIF(Table1[Department],B23,Table1[Yr Salary])</f>
        <v>54600</v>
      </c>
      <c r="E23" s="27">
        <f>COUNTIF(Table1[Department],B23)</f>
        <v>1</v>
      </c>
    </row>
    <row r="24" spans="2:5" x14ac:dyDescent="0.25">
      <c r="B24" s="27" t="s">
        <v>62</v>
      </c>
      <c r="C24" s="28">
        <f>SUMIF(Table1[Department],B24,Table1[Yr Salary])</f>
        <v>79352</v>
      </c>
      <c r="D24" s="28">
        <f>AVERAGEIF(Table1[Department],B24,Table1[Yr Salary])</f>
        <v>39676</v>
      </c>
      <c r="E24" s="27">
        <f>COUNTIF(Table1[Department],B24)</f>
        <v>2</v>
      </c>
    </row>
  </sheetData>
  <pageMargins left="0.7" right="0.7" top="0.75" bottom="0.75" header="0.3" footer="0.3"/>
  <tableParts count="3">
    <tablePart r:id="rId1"/>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zoomScale="220" zoomScaleNormal="220" workbookViewId="0">
      <selection activeCell="G5" sqref="G5"/>
    </sheetView>
  </sheetViews>
  <sheetFormatPr defaultRowHeight="15" x14ac:dyDescent="0.25"/>
  <cols>
    <col min="1" max="1" width="15" style="24" bestFit="1" customWidth="1"/>
    <col min="2" max="3" width="9.140625" style="24"/>
    <col min="4" max="4" width="1.7109375" style="24" customWidth="1"/>
    <col min="5" max="5" width="20" style="24" bestFit="1" customWidth="1"/>
    <col min="6" max="7" width="11.5703125" style="24" bestFit="1" customWidth="1"/>
    <col min="8" max="8" width="11.42578125" style="24" customWidth="1"/>
    <col min="9" max="14" width="9.140625" style="24"/>
    <col min="15" max="15" width="15" style="24" bestFit="1" customWidth="1"/>
    <col min="16" max="16384" width="9.140625" style="24"/>
  </cols>
  <sheetData>
    <row r="1" spans="1:7" x14ac:dyDescent="0.25">
      <c r="A1" s="38" t="s">
        <v>408</v>
      </c>
      <c r="B1" s="29" t="s">
        <v>411</v>
      </c>
      <c r="C1" s="29">
        <v>10</v>
      </c>
      <c r="E1" s="27" t="s">
        <v>414</v>
      </c>
      <c r="F1" s="27" t="s">
        <v>413</v>
      </c>
      <c r="G1" s="27" t="s">
        <v>412</v>
      </c>
    </row>
    <row r="2" spans="1:7" x14ac:dyDescent="0.25">
      <c r="A2" s="38" t="s">
        <v>408</v>
      </c>
      <c r="B2" s="29" t="s">
        <v>410</v>
      </c>
      <c r="C2" s="29">
        <v>8</v>
      </c>
      <c r="E2" s="27" t="s">
        <v>411</v>
      </c>
      <c r="F2" s="27">
        <v>0</v>
      </c>
      <c r="G2" s="28">
        <f>SUMIF($B$1:$B$5,Table14[[#This Row],[Item]],$C$1:$C$5)*Table14[[#This Row],[Quanitity]]</f>
        <v>0</v>
      </c>
    </row>
    <row r="3" spans="1:7" x14ac:dyDescent="0.25">
      <c r="A3" s="38" t="s">
        <v>408</v>
      </c>
      <c r="B3" s="29" t="s">
        <v>409</v>
      </c>
      <c r="C3" s="29">
        <v>5</v>
      </c>
      <c r="E3" s="27" t="s">
        <v>406</v>
      </c>
      <c r="F3" s="27">
        <v>0</v>
      </c>
      <c r="G3" s="28">
        <f>SUMIF($B$1:$B$5,Table14[[#This Row],[Item]],$C$1:$C$5)*Table14[[#This Row],[Quanitity]]</f>
        <v>0</v>
      </c>
    </row>
    <row r="4" spans="1:7" x14ac:dyDescent="0.25">
      <c r="A4" s="38" t="s">
        <v>408</v>
      </c>
      <c r="B4" s="29" t="s">
        <v>407</v>
      </c>
      <c r="C4" s="29">
        <v>7</v>
      </c>
      <c r="E4" s="27" t="s">
        <v>406</v>
      </c>
      <c r="F4" s="27">
        <v>0</v>
      </c>
      <c r="G4" s="28">
        <f>SUMIF($B$1:$B$5,Table14[[#This Row],[Item]],$C$1:$C$5)*Table14[[#This Row],[Quanitity]]</f>
        <v>0</v>
      </c>
    </row>
    <row r="5" spans="1:7" x14ac:dyDescent="0.25">
      <c r="A5" s="38"/>
      <c r="B5" s="29" t="s">
        <v>406</v>
      </c>
      <c r="C5" s="29">
        <v>0</v>
      </c>
      <c r="E5" s="27" t="s">
        <v>406</v>
      </c>
      <c r="F5" s="27">
        <v>0</v>
      </c>
      <c r="G5" s="28">
        <f>SUMIF($B$1:$B$5,Table14[[#This Row],[Item]],$C$1:$C$5)*Table14[[#This Row],[Quanitity]]</f>
        <v>0</v>
      </c>
    </row>
    <row r="6" spans="1:7" ht="4.5" customHeight="1" x14ac:dyDescent="0.25"/>
    <row r="7" spans="1:7" x14ac:dyDescent="0.25">
      <c r="A7" s="24" t="s">
        <v>415</v>
      </c>
      <c r="B7" s="24" t="s">
        <v>404</v>
      </c>
      <c r="E7" s="30" t="s">
        <v>405</v>
      </c>
      <c r="F7" s="31">
        <f>SUM(Table14[Price])</f>
        <v>0</v>
      </c>
    </row>
    <row r="8" spans="1:7" x14ac:dyDescent="0.25">
      <c r="A8" s="25">
        <v>25</v>
      </c>
      <c r="B8" s="26">
        <v>0.05</v>
      </c>
      <c r="E8" s="32" t="s">
        <v>404</v>
      </c>
      <c r="F8" s="33">
        <f>IF(F7&gt;=A10,F7*0.2,IF(F7&gt;=A9,F7*0.1,IF(F7&gt;=A8,F7*0.05,0)))</f>
        <v>0</v>
      </c>
    </row>
    <row r="9" spans="1:7" x14ac:dyDescent="0.25">
      <c r="A9" s="25">
        <v>50</v>
      </c>
      <c r="B9" s="26">
        <v>0.1</v>
      </c>
      <c r="E9" s="36" t="s">
        <v>403</v>
      </c>
      <c r="F9" s="37">
        <f>F7-F8</f>
        <v>0</v>
      </c>
    </row>
    <row r="10" spans="1:7" x14ac:dyDescent="0.25">
      <c r="A10" s="25">
        <v>100</v>
      </c>
      <c r="B10" s="26">
        <v>0.2</v>
      </c>
      <c r="E10" s="34" t="s">
        <v>402</v>
      </c>
      <c r="F10" s="35">
        <f>F9*B13</f>
        <v>0</v>
      </c>
    </row>
    <row r="11" spans="1:7" x14ac:dyDescent="0.25">
      <c r="E11" s="30" t="s">
        <v>401</v>
      </c>
      <c r="F11" s="31">
        <f>F9+F10</f>
        <v>0</v>
      </c>
    </row>
    <row r="12" spans="1:7" ht="4.5" customHeight="1" x14ac:dyDescent="0.25"/>
    <row r="13" spans="1:7" x14ac:dyDescent="0.25">
      <c r="A13" s="24" t="s">
        <v>416</v>
      </c>
      <c r="B13" s="24">
        <f>6.35%</f>
        <v>6.3500000000000001E-2</v>
      </c>
    </row>
  </sheetData>
  <dataValidations count="1">
    <dataValidation type="list" allowBlank="1" showInputMessage="1" showErrorMessage="1" sqref="E2:E5">
      <formula1>$B$1:$B$5</formula1>
    </dataValidation>
  </dataValidation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280" zoomScaleNormal="280" workbookViewId="0">
      <selection activeCell="G5" sqref="G5"/>
    </sheetView>
  </sheetViews>
  <sheetFormatPr defaultRowHeight="15" x14ac:dyDescent="0.25"/>
  <cols>
    <col min="1" max="1" width="14" bestFit="1" customWidth="1"/>
    <col min="3" max="3" width="1.7109375" customWidth="1"/>
    <col min="4" max="4" width="14.140625" bestFit="1" customWidth="1"/>
    <col min="6" max="6" width="1.7109375" customWidth="1"/>
  </cols>
  <sheetData>
    <row r="1" spans="1:5" x14ac:dyDescent="0.25">
      <c r="A1" s="39" t="s">
        <v>425</v>
      </c>
      <c r="B1" s="39" t="s">
        <v>426</v>
      </c>
      <c r="D1" s="39" t="s">
        <v>425</v>
      </c>
      <c r="E1" s="39" t="s">
        <v>426</v>
      </c>
    </row>
    <row r="2" spans="1:5" x14ac:dyDescent="0.25">
      <c r="A2" s="39" t="str">
        <f>"=10+5*5+20"</f>
        <v>=10+5*5+20</v>
      </c>
      <c r="B2" s="39">
        <f>10+5*5+20</f>
        <v>55</v>
      </c>
      <c r="D2" s="39" t="str">
        <f>"=20--10+10"</f>
        <v>=20--10+10</v>
      </c>
      <c r="E2" s="39">
        <f>20--10+10</f>
        <v>40</v>
      </c>
    </row>
    <row r="3" spans="1:5" x14ac:dyDescent="0.25">
      <c r="A3" s="39" t="str">
        <f>"=(10+5)*(5+20)"</f>
        <v>=(10+5)*(5+20)</v>
      </c>
      <c r="B3" s="39">
        <f>(10+5)*(5+20)</f>
        <v>375</v>
      </c>
      <c r="D3" s="39" t="str">
        <f>"=20-(-10+10)"</f>
        <v>=20-(-10+10)</v>
      </c>
      <c r="E3" s="39">
        <f>20-(-10+10)</f>
        <v>20</v>
      </c>
    </row>
    <row r="4" spans="1:5" x14ac:dyDescent="0.25">
      <c r="D4" s="39"/>
      <c r="E4" s="39"/>
    </row>
    <row r="5" spans="1:5" x14ac:dyDescent="0.25">
      <c r="A5" s="39" t="str">
        <f>"=32/2*4"</f>
        <v>=32/2*4</v>
      </c>
      <c r="B5" s="39">
        <f>32/2*4</f>
        <v>64</v>
      </c>
      <c r="D5" s="39" t="str">
        <f>"=2^4+4"</f>
        <v>=2^4+4</v>
      </c>
      <c r="E5" s="39">
        <f>2^4+4</f>
        <v>20</v>
      </c>
    </row>
    <row r="6" spans="1:5" x14ac:dyDescent="0.25">
      <c r="A6" s="39" t="str">
        <f>"=32/(2*4)"</f>
        <v>=32/(2*4)</v>
      </c>
      <c r="B6" s="39">
        <f>32/(2*4)</f>
        <v>4</v>
      </c>
      <c r="D6" s="39" t="str">
        <f>"=2^(4+4)"</f>
        <v>=2^(4+4)</v>
      </c>
      <c r="E6" s="39">
        <f>2^(4+4)</f>
        <v>256</v>
      </c>
    </row>
    <row r="7" spans="1:5" x14ac:dyDescent="0.25">
      <c r="D7" s="45"/>
      <c r="E7" s="39"/>
    </row>
    <row r="8" spans="1:5" x14ac:dyDescent="0.25">
      <c r="A8" s="44" t="str">
        <f>"=20-10%"</f>
        <v>=20-10%</v>
      </c>
      <c r="B8" s="16">
        <f>20-10%</f>
        <v>19.899999999999999</v>
      </c>
      <c r="D8" s="39" t="str">
        <f>"=16+2^4*50%"</f>
        <v>=16+2^4*50%</v>
      </c>
      <c r="E8" s="39">
        <f>16+2^4*50%</f>
        <v>24</v>
      </c>
    </row>
    <row r="9" spans="1:5" x14ac:dyDescent="0.25">
      <c r="A9" s="39" t="str">
        <f>"=(20-10)%"</f>
        <v>=(20-10)%</v>
      </c>
      <c r="B9">
        <f>(20-10)%</f>
        <v>0.1</v>
      </c>
      <c r="D9" s="39" t="str">
        <f>"=16+2^(4*50%)"</f>
        <v>=16+2^(4*50%)</v>
      </c>
      <c r="E9" s="39">
        <f>16+2^(4*50%)</f>
        <v>20</v>
      </c>
    </row>
    <row r="10" spans="1:5" x14ac:dyDescent="0.25">
      <c r="D10" t="str">
        <f>"=(16+2^4)*50%"</f>
        <v>=(16+2^4)*50%</v>
      </c>
      <c r="E10" s="39">
        <f>(16+2^4)*50%</f>
        <v>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zoomScale="310" zoomScaleNormal="310" workbookViewId="0">
      <selection activeCell="E6" sqref="E6"/>
    </sheetView>
  </sheetViews>
  <sheetFormatPr defaultRowHeight="15" x14ac:dyDescent="0.25"/>
  <cols>
    <col min="2" max="2" width="15.7109375" bestFit="1" customWidth="1"/>
    <col min="3" max="3" width="10.28515625" bestFit="1" customWidth="1"/>
  </cols>
  <sheetData>
    <row r="1" spans="1:3" x14ac:dyDescent="0.25">
      <c r="A1" s="39" t="s">
        <v>427</v>
      </c>
      <c r="B1" s="39" t="s">
        <v>428</v>
      </c>
      <c r="C1" s="39" t="s">
        <v>426</v>
      </c>
    </row>
    <row r="2" spans="1:3" x14ac:dyDescent="0.25">
      <c r="A2" s="14">
        <v>12</v>
      </c>
      <c r="B2" t="str">
        <f>"=A2"</f>
        <v>=A2</v>
      </c>
      <c r="C2" s="14">
        <f>A2</f>
        <v>12</v>
      </c>
    </row>
    <row r="3" spans="1:3" x14ac:dyDescent="0.25">
      <c r="A3" s="14">
        <v>15</v>
      </c>
      <c r="B3" t="str">
        <f>"=A3+5"</f>
        <v>=A3+5</v>
      </c>
      <c r="C3" s="14">
        <f>A3+5</f>
        <v>20</v>
      </c>
    </row>
    <row r="4" spans="1:3" x14ac:dyDescent="0.25">
      <c r="A4" s="14">
        <v>2</v>
      </c>
      <c r="B4" t="str">
        <f>"=A2/A4"</f>
        <v>=A2/A4</v>
      </c>
      <c r="C4" s="14">
        <f>A2/A4</f>
        <v>6</v>
      </c>
    </row>
    <row r="5" spans="1:3" x14ac:dyDescent="0.25">
      <c r="A5" s="14">
        <v>100</v>
      </c>
      <c r="B5" t="str">
        <f>"=A5-SUM(A2:A4)"</f>
        <v>=A5-SUM(A2:A4)</v>
      </c>
      <c r="C5" s="14">
        <f>A5-SUM(A2:A4)</f>
        <v>71</v>
      </c>
    </row>
    <row r="6" spans="1:3" x14ac:dyDescent="0.25">
      <c r="A6" s="14" t="s">
        <v>430</v>
      </c>
      <c r="B6" t="str">
        <f>"=A6"</f>
        <v>=A6</v>
      </c>
      <c r="C6" s="14" t="str">
        <f>A6</f>
        <v>Cats</v>
      </c>
    </row>
    <row r="7" spans="1:3" x14ac:dyDescent="0.25">
      <c r="A7" s="14" t="s">
        <v>429</v>
      </c>
      <c r="B7" t="str">
        <f>"=A7&amp;"" ""&amp;A6"</f>
        <v>=A7&amp;" "&amp;A6</v>
      </c>
      <c r="C7" s="14" t="str">
        <f>A7&amp;" "&amp;A6</f>
        <v>I Love Cats</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zoomScale="280" zoomScaleNormal="280" workbookViewId="0">
      <selection activeCell="E17" sqref="E17"/>
    </sheetView>
  </sheetViews>
  <sheetFormatPr defaultRowHeight="15" x14ac:dyDescent="0.25"/>
  <cols>
    <col min="3" max="3" width="9.5703125" bestFit="1" customWidth="1"/>
    <col min="4" max="4" width="11.7109375" bestFit="1" customWidth="1"/>
    <col min="5" max="5" width="13.85546875" bestFit="1" customWidth="1"/>
  </cols>
  <sheetData>
    <row r="1" spans="1:5" x14ac:dyDescent="0.25">
      <c r="A1" s="41" t="s">
        <v>431</v>
      </c>
      <c r="B1" s="41" t="s">
        <v>432</v>
      </c>
      <c r="C1" s="48" t="str">
        <f>"=A2*B2"</f>
        <v>=A2*B2</v>
      </c>
      <c r="D1" s="48" t="str">
        <f>"=$A$2*B2"</f>
        <v>=$A$2*B2</v>
      </c>
      <c r="E1" s="48" t="str">
        <f>"=$A$2*$B$2"</f>
        <v>=$A$2*$B$2</v>
      </c>
    </row>
    <row r="2" spans="1:5" x14ac:dyDescent="0.25">
      <c r="A2" s="41">
        <v>2</v>
      </c>
      <c r="B2" s="41">
        <v>2</v>
      </c>
      <c r="C2" s="42">
        <f>A2*B2</f>
        <v>4</v>
      </c>
      <c r="D2" s="43">
        <f>$A$2*B2</f>
        <v>4</v>
      </c>
      <c r="E2" s="47">
        <f>$A$2*$B$2</f>
        <v>4</v>
      </c>
    </row>
    <row r="3" spans="1:5" x14ac:dyDescent="0.25">
      <c r="A3" s="41">
        <v>3</v>
      </c>
      <c r="B3" s="41">
        <v>3</v>
      </c>
      <c r="C3" s="42">
        <f t="shared" ref="C3:C7" si="0">A3*B3</f>
        <v>9</v>
      </c>
      <c r="D3" s="43">
        <f t="shared" ref="D3:D7" si="1">$A$2*B3</f>
        <v>6</v>
      </c>
      <c r="E3" s="47">
        <f t="shared" ref="E3:E7" si="2">$A$2*$B$2</f>
        <v>4</v>
      </c>
    </row>
    <row r="4" spans="1:5" x14ac:dyDescent="0.25">
      <c r="A4" s="41">
        <v>4</v>
      </c>
      <c r="B4" s="41">
        <v>4</v>
      </c>
      <c r="C4" s="42">
        <f t="shared" si="0"/>
        <v>16</v>
      </c>
      <c r="D4" s="43">
        <f t="shared" si="1"/>
        <v>8</v>
      </c>
      <c r="E4" s="47">
        <f t="shared" si="2"/>
        <v>4</v>
      </c>
    </row>
    <row r="5" spans="1:5" x14ac:dyDescent="0.25">
      <c r="A5" s="41">
        <v>5</v>
      </c>
      <c r="B5" s="41">
        <v>5</v>
      </c>
      <c r="C5" s="42">
        <f t="shared" si="0"/>
        <v>25</v>
      </c>
      <c r="D5" s="43">
        <f t="shared" si="1"/>
        <v>10</v>
      </c>
      <c r="E5" s="47">
        <f t="shared" si="2"/>
        <v>4</v>
      </c>
    </row>
    <row r="6" spans="1:5" x14ac:dyDescent="0.25">
      <c r="A6" s="41">
        <v>6</v>
      </c>
      <c r="B6" s="41">
        <v>6</v>
      </c>
      <c r="C6" s="42">
        <f t="shared" si="0"/>
        <v>36</v>
      </c>
      <c r="D6" s="43">
        <f t="shared" si="1"/>
        <v>12</v>
      </c>
      <c r="E6" s="47">
        <f t="shared" si="2"/>
        <v>4</v>
      </c>
    </row>
    <row r="7" spans="1:5" x14ac:dyDescent="0.25">
      <c r="A7" s="41">
        <v>7</v>
      </c>
      <c r="B7" s="41">
        <v>7</v>
      </c>
      <c r="C7" s="42">
        <f t="shared" si="0"/>
        <v>49</v>
      </c>
      <c r="D7" s="43">
        <f t="shared" si="1"/>
        <v>14</v>
      </c>
      <c r="E7" s="47">
        <f t="shared" si="2"/>
        <v>4</v>
      </c>
    </row>
    <row r="9" spans="1:5" x14ac:dyDescent="0.25">
      <c r="A9" s="52" t="s">
        <v>433</v>
      </c>
      <c r="B9" s="52"/>
      <c r="C9" s="52"/>
      <c r="D9" s="52"/>
      <c r="E9" s="52"/>
    </row>
    <row r="10" spans="1:5" x14ac:dyDescent="0.25">
      <c r="A10" s="41" t="s">
        <v>431</v>
      </c>
      <c r="B10" s="41" t="s">
        <v>432</v>
      </c>
      <c r="C10" s="48" t="str">
        <f>"=A11*B11"</f>
        <v>=A11*B11</v>
      </c>
      <c r="D10" s="48" t="str">
        <f>"=$A$11*B11"</f>
        <v>=$A$11*B11</v>
      </c>
      <c r="E10" s="48" t="str">
        <f>"=$A$11*$B$11"</f>
        <v>=$A$11*$B$11</v>
      </c>
    </row>
    <row r="11" spans="1:5" x14ac:dyDescent="0.25">
      <c r="A11">
        <v>1</v>
      </c>
      <c r="B11">
        <v>1</v>
      </c>
      <c r="C11">
        <f>A11*B11</f>
        <v>1</v>
      </c>
      <c r="D11">
        <f>$A$11*B11</f>
        <v>1</v>
      </c>
      <c r="E11">
        <f>$A$11*$B$11</f>
        <v>1</v>
      </c>
    </row>
    <row r="12" spans="1:5" x14ac:dyDescent="0.25">
      <c r="A12">
        <v>2</v>
      </c>
      <c r="B12">
        <v>2</v>
      </c>
    </row>
    <row r="13" spans="1:5" x14ac:dyDescent="0.25">
      <c r="A13">
        <v>3</v>
      </c>
      <c r="B13">
        <v>3</v>
      </c>
    </row>
    <row r="14" spans="1:5" x14ac:dyDescent="0.25">
      <c r="A14">
        <v>4</v>
      </c>
      <c r="B14">
        <v>4</v>
      </c>
    </row>
    <row r="15" spans="1:5" x14ac:dyDescent="0.25">
      <c r="A15">
        <v>5</v>
      </c>
      <c r="B15">
        <v>5</v>
      </c>
    </row>
    <row r="16" spans="1:5" x14ac:dyDescent="0.25">
      <c r="A16">
        <v>6</v>
      </c>
      <c r="B16">
        <v>6</v>
      </c>
    </row>
    <row r="17" spans="1:2" x14ac:dyDescent="0.25">
      <c r="A17">
        <v>7</v>
      </c>
      <c r="B17">
        <v>7</v>
      </c>
    </row>
  </sheetData>
  <mergeCells count="1">
    <mergeCell ref="A9:E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7"/>
  <sheetViews>
    <sheetView topLeftCell="A10" zoomScale="220" zoomScaleNormal="220" workbookViewId="0">
      <selection activeCell="G17" sqref="G17"/>
    </sheetView>
  </sheetViews>
  <sheetFormatPr defaultRowHeight="15" x14ac:dyDescent="0.25"/>
  <cols>
    <col min="1" max="1" width="9.7109375" bestFit="1" customWidth="1"/>
    <col min="2" max="2" width="1.7109375" customWidth="1"/>
    <col min="3" max="3" width="13.85546875" bestFit="1" customWidth="1"/>
    <col min="4" max="4" width="33.42578125" bestFit="1" customWidth="1"/>
    <col min="5" max="5" width="14.85546875" bestFit="1" customWidth="1"/>
  </cols>
  <sheetData>
    <row r="1" spans="1:6" x14ac:dyDescent="0.25">
      <c r="A1" s="52" t="s">
        <v>452</v>
      </c>
      <c r="B1" s="52"/>
      <c r="C1" s="52"/>
      <c r="D1" s="52"/>
      <c r="E1" s="52"/>
      <c r="F1" s="52"/>
    </row>
    <row r="2" spans="1:6" x14ac:dyDescent="0.25">
      <c r="A2">
        <v>1</v>
      </c>
      <c r="C2" t="s">
        <v>425</v>
      </c>
      <c r="D2" t="s">
        <v>439</v>
      </c>
      <c r="E2" t="s">
        <v>426</v>
      </c>
    </row>
    <row r="3" spans="1:6" x14ac:dyDescent="0.25">
      <c r="A3">
        <v>2</v>
      </c>
      <c r="C3" t="s">
        <v>434</v>
      </c>
      <c r="D3" t="str">
        <f>"=SUM($A$1:$A$7)"</f>
        <v>=SUM($A$1:$A$7)</v>
      </c>
      <c r="E3">
        <f>SUM($A$2:$A$12)</f>
        <v>28</v>
      </c>
    </row>
    <row r="4" spans="1:6" x14ac:dyDescent="0.25">
      <c r="A4">
        <v>3</v>
      </c>
      <c r="C4" t="s">
        <v>435</v>
      </c>
      <c r="D4" t="str">
        <f>"=AVERAGE($A$1:$A$7)"</f>
        <v>=AVERAGE($A$1:$A$7)</v>
      </c>
      <c r="E4">
        <f>AVERAGE($A$2:$A$12)</f>
        <v>4</v>
      </c>
    </row>
    <row r="5" spans="1:6" x14ac:dyDescent="0.25">
      <c r="A5">
        <v>4</v>
      </c>
      <c r="C5" t="s">
        <v>436</v>
      </c>
      <c r="D5" t="str">
        <f>"=COUNT($A$1:$A$7)"</f>
        <v>=COUNT($A$1:$A$7)</v>
      </c>
      <c r="E5">
        <f>COUNT($A$2:$A$12)</f>
        <v>7</v>
      </c>
    </row>
    <row r="6" spans="1:6" x14ac:dyDescent="0.25">
      <c r="A6">
        <v>5</v>
      </c>
      <c r="C6" t="s">
        <v>438</v>
      </c>
      <c r="D6" t="str">
        <f>"=MIN($A$1:$A$7)"</f>
        <v>=MIN($A$1:$A$7)</v>
      </c>
      <c r="E6">
        <f>MIN($A$2:$A$12)</f>
        <v>1</v>
      </c>
    </row>
    <row r="7" spans="1:6" x14ac:dyDescent="0.25">
      <c r="A7">
        <v>6</v>
      </c>
      <c r="C7" t="s">
        <v>437</v>
      </c>
      <c r="D7" t="str">
        <f>"=MAX($A$1:$A$7)"</f>
        <v>=MAX($A$1:$A$7)</v>
      </c>
      <c r="E7">
        <f>MAX($A$2:$A$12)</f>
        <v>7</v>
      </c>
    </row>
    <row r="8" spans="1:6" x14ac:dyDescent="0.25">
      <c r="A8">
        <v>7</v>
      </c>
      <c r="C8" t="s">
        <v>440</v>
      </c>
      <c r="D8" t="str">
        <f>"=SUBTOTAL(9,$A$1:$A$7)"</f>
        <v>=SUBTOTAL(9,$A$1:$A$7)</v>
      </c>
      <c r="E8">
        <f>SUBTOTAL(9,$A$2:$A$12)</f>
        <v>28</v>
      </c>
    </row>
    <row r="9" spans="1:6" s="46" customFormat="1" ht="5.0999999999999996" customHeight="1" x14ac:dyDescent="0.25"/>
    <row r="10" spans="1:6" ht="15" customHeight="1" x14ac:dyDescent="0.25">
      <c r="A10" s="52" t="s">
        <v>448</v>
      </c>
      <c r="B10" s="52"/>
      <c r="C10" s="52"/>
      <c r="D10" s="52"/>
      <c r="E10" s="52"/>
      <c r="F10" s="52"/>
    </row>
    <row r="11" spans="1:6" x14ac:dyDescent="0.25">
      <c r="C11" t="s">
        <v>441</v>
      </c>
      <c r="D11" t="str">
        <f>"=TODAY()"</f>
        <v>=TODAY()</v>
      </c>
      <c r="E11" s="11">
        <f ca="1">TODAY()</f>
        <v>43552</v>
      </c>
    </row>
    <row r="12" spans="1:6" x14ac:dyDescent="0.25">
      <c r="C12" t="s">
        <v>442</v>
      </c>
      <c r="D12" t="str">
        <f>"=NOW()"</f>
        <v>=NOW()</v>
      </c>
      <c r="E12" s="49">
        <f ca="1">NOW()</f>
        <v>43552.558012037036</v>
      </c>
    </row>
    <row r="13" spans="1:6" x14ac:dyDescent="0.25">
      <c r="C13" t="s">
        <v>443</v>
      </c>
      <c r="D13" t="str">
        <f>"=DATE(2019,3,25)"</f>
        <v>=DATE(2019,3,25)</v>
      </c>
      <c r="E13" s="11">
        <f>DATE(2019,3,25)</f>
        <v>43549</v>
      </c>
    </row>
    <row r="14" spans="1:6" x14ac:dyDescent="0.25">
      <c r="A14" s="11">
        <v>36610</v>
      </c>
      <c r="C14" t="s">
        <v>454</v>
      </c>
      <c r="D14" t="str">
        <f>"=DATEDIF(A14,E13,""Y"")"</f>
        <v>=DATEDIF(A14,E13,"Y")</v>
      </c>
      <c r="E14">
        <f>DATEDIF(A14,E13,"Y")</f>
        <v>19</v>
      </c>
    </row>
    <row r="15" spans="1:6" s="46" customFormat="1" ht="5.0999999999999996" customHeight="1" x14ac:dyDescent="0.25"/>
    <row r="16" spans="1:6" x14ac:dyDescent="0.25">
      <c r="A16" s="52" t="s">
        <v>447</v>
      </c>
      <c r="B16" s="52"/>
      <c r="C16" s="52"/>
      <c r="D16" s="52"/>
      <c r="E16" s="52"/>
      <c r="F16" s="52"/>
    </row>
    <row r="17" spans="1:6" x14ac:dyDescent="0.25">
      <c r="A17" t="s">
        <v>434</v>
      </c>
      <c r="C17" t="s">
        <v>444</v>
      </c>
      <c r="D17" s="50" t="str">
        <f>"=VLOOKUP(A13,C2:E7,3)"</f>
        <v>=VLOOKUP(A13,C2:E7,3)</v>
      </c>
      <c r="E17">
        <f>VLOOKUP(A17,C3:E8,3)</f>
        <v>28</v>
      </c>
    </row>
    <row r="18" spans="1:6" ht="30" x14ac:dyDescent="0.25">
      <c r="A18" t="s">
        <v>435</v>
      </c>
      <c r="C18" t="s">
        <v>445</v>
      </c>
      <c r="D18" s="50" t="str">
        <f>"=INDEX(C2:E7,MATCH(A14,C2:C7,0),3)"</f>
        <v>=INDEX(C2:E7,MATCH(A14,C2:C7,0),3)</v>
      </c>
      <c r="E18">
        <f>INDEX(C3:E8,MATCH(A18,C3:C8,0),3)</f>
        <v>4</v>
      </c>
    </row>
    <row r="19" spans="1:6" s="46" customFormat="1" ht="3.75" customHeight="1" x14ac:dyDescent="0.25">
      <c r="D19" s="51"/>
    </row>
    <row r="20" spans="1:6" ht="15" customHeight="1" x14ac:dyDescent="0.25">
      <c r="A20" s="52" t="s">
        <v>449</v>
      </c>
      <c r="B20" s="52"/>
      <c r="C20" s="52"/>
      <c r="D20" s="52"/>
      <c r="E20" s="52"/>
      <c r="F20" s="52"/>
    </row>
    <row r="21" spans="1:6" x14ac:dyDescent="0.25">
      <c r="A21" t="s">
        <v>450</v>
      </c>
      <c r="E21" t="s">
        <v>451</v>
      </c>
    </row>
    <row r="22" spans="1:6" x14ac:dyDescent="0.25">
      <c r="A22">
        <v>50</v>
      </c>
      <c r="C22" t="s">
        <v>446</v>
      </c>
      <c r="D22" t="str">
        <f>"=CONVERT(A21,""mi"",""km"")"</f>
        <v>=CONVERT(A21,"mi","km")</v>
      </c>
      <c r="E22">
        <f>CONVERT(A22,"mi","km")</f>
        <v>80.467200000000005</v>
      </c>
    </row>
    <row r="23" spans="1:6" s="46" customFormat="1" ht="5.0999999999999996" customHeight="1" x14ac:dyDescent="0.25"/>
    <row r="24" spans="1:6" x14ac:dyDescent="0.25">
      <c r="A24" s="52" t="s">
        <v>453</v>
      </c>
      <c r="B24" s="52"/>
      <c r="C24" s="52"/>
      <c r="D24" s="52"/>
      <c r="E24" s="52"/>
      <c r="F24" s="52"/>
    </row>
    <row r="25" spans="1:6" x14ac:dyDescent="0.25">
      <c r="A25">
        <v>1.49</v>
      </c>
      <c r="C25" t="s">
        <v>455</v>
      </c>
      <c r="D25" t="str">
        <f>"=ROUND(A25,1)"</f>
        <v>=ROUND(A25,1)</v>
      </c>
      <c r="E25">
        <f>ROUND(A25,1)</f>
        <v>1.5</v>
      </c>
    </row>
    <row r="26" spans="1:6" x14ac:dyDescent="0.25">
      <c r="A26">
        <v>1.49</v>
      </c>
      <c r="C26" t="s">
        <v>456</v>
      </c>
      <c r="D26" t="str">
        <f>"=ROUNDUP(A26,1)"</f>
        <v>=ROUNDUP(A26,1)</v>
      </c>
      <c r="E26">
        <f>ROUNDUP(A26,1)</f>
        <v>1.5</v>
      </c>
    </row>
    <row r="27" spans="1:6" x14ac:dyDescent="0.25">
      <c r="A27">
        <v>1.49</v>
      </c>
      <c r="C27" t="s">
        <v>457</v>
      </c>
      <c r="D27" t="str">
        <f>"=ROUNDDOWN(A27,1)"</f>
        <v>=ROUNDDOWN(A27,1)</v>
      </c>
      <c r="E27">
        <f>ROUNDDOWN(A27,1)</f>
        <v>1.4</v>
      </c>
    </row>
    <row r="28" spans="1:6" s="46" customFormat="1" ht="5.0999999999999996" customHeight="1" x14ac:dyDescent="0.25"/>
    <row r="29" spans="1:6" x14ac:dyDescent="0.25">
      <c r="A29" s="52" t="s">
        <v>460</v>
      </c>
      <c r="B29" s="52"/>
      <c r="C29" s="52"/>
      <c r="D29" s="52"/>
      <c r="E29" s="52"/>
      <c r="F29" s="52"/>
    </row>
    <row r="30" spans="1:6" x14ac:dyDescent="0.25">
      <c r="A30">
        <v>10</v>
      </c>
      <c r="C30" t="s">
        <v>461</v>
      </c>
      <c r="D30" t="str">
        <f>"=IF(A31&gt;=5,""True"",""False"")"</f>
        <v>=IF(A31&gt;=5,"True","False")</v>
      </c>
      <c r="E30" s="22" t="str">
        <f>IF(A30&gt;=5,"True","False")</f>
        <v>True</v>
      </c>
    </row>
    <row r="31" spans="1:6" x14ac:dyDescent="0.25">
      <c r="A31">
        <v>10</v>
      </c>
      <c r="C31" t="s">
        <v>462</v>
      </c>
      <c r="D31" t="str">
        <f>"=COUNTIF(C31:C38,""IS*"")"</f>
        <v>=COUNTIF(C31:C38,"IS*")</v>
      </c>
      <c r="E31" s="22">
        <f>COUNTIF(C30:C37,"IS*")</f>
        <v>4</v>
      </c>
    </row>
    <row r="32" spans="1:6" x14ac:dyDescent="0.25">
      <c r="A32">
        <v>10</v>
      </c>
      <c r="C32" t="s">
        <v>463</v>
      </c>
      <c r="D32" t="str">
        <f>"=SUMIF(C31:C38,""IS*"",A31:A38)"</f>
        <v>=SUMIF(C31:C38,"IS*",A31:A38)</v>
      </c>
      <c r="E32" s="22">
        <f>SUMIF(C30:C37,"IS*",A30:A37)</f>
        <v>40</v>
      </c>
    </row>
    <row r="33" spans="1:5" x14ac:dyDescent="0.25">
      <c r="A33">
        <v>10</v>
      </c>
      <c r="C33" t="s">
        <v>464</v>
      </c>
      <c r="D33" t="str">
        <f>"=AVERAGEIF(C31:C38,""IS*"",A31:A38)"</f>
        <v>=AVERAGEIF(C31:C38,"IS*",A31:A38)</v>
      </c>
      <c r="E33" s="22">
        <f>AVERAGEIF(C30:C37,"IS*",A30:A37)</f>
        <v>10</v>
      </c>
    </row>
    <row r="34" spans="1:5" x14ac:dyDescent="0.25">
      <c r="A34">
        <v>10</v>
      </c>
      <c r="C34" t="s">
        <v>458</v>
      </c>
      <c r="D34" t="str">
        <f>"=ISNUMBER(A35)"</f>
        <v>=ISNUMBER(A35)</v>
      </c>
      <c r="E34" s="22" t="b">
        <f>ISNUMBER(A34)</f>
        <v>1</v>
      </c>
    </row>
    <row r="35" spans="1:5" x14ac:dyDescent="0.25">
      <c r="A35">
        <v>10</v>
      </c>
      <c r="C35" t="s">
        <v>459</v>
      </c>
      <c r="D35" t="str">
        <f>"=ISBLANK(A36)"</f>
        <v>=ISBLANK(A36)</v>
      </c>
      <c r="E35" s="22" t="b">
        <f>ISBLANK(A35)</f>
        <v>0</v>
      </c>
    </row>
    <row r="36" spans="1:5" x14ac:dyDescent="0.25">
      <c r="A36">
        <v>10</v>
      </c>
      <c r="C36" t="s">
        <v>465</v>
      </c>
      <c r="D36" t="str">
        <f>"=ISTEXT(A37)"</f>
        <v>=ISTEXT(A37)</v>
      </c>
      <c r="E36" s="22" t="b">
        <f>ISTEXT(A36)</f>
        <v>0</v>
      </c>
    </row>
    <row r="37" spans="1:5" x14ac:dyDescent="0.25">
      <c r="A37">
        <v>10</v>
      </c>
      <c r="C37" t="s">
        <v>466</v>
      </c>
      <c r="D37" t="str">
        <f>"=ISNONTEXT(A38)"</f>
        <v>=ISNONTEXT(A38)</v>
      </c>
      <c r="E37" s="22" t="b">
        <f>ISNONTEXT(A37)</f>
        <v>1</v>
      </c>
    </row>
  </sheetData>
  <mergeCells count="6">
    <mergeCell ref="A29:F29"/>
    <mergeCell ref="A16:F16"/>
    <mergeCell ref="A1:F1"/>
    <mergeCell ref="A10:F10"/>
    <mergeCell ref="A20:F20"/>
    <mergeCell ref="A24:F2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Big Table</vt:lpstr>
      <vt:lpstr>Dates</vt:lpstr>
      <vt:lpstr>Workspace</vt:lpstr>
      <vt:lpstr>Staff</vt:lpstr>
      <vt:lpstr>Discounts</vt:lpstr>
      <vt:lpstr>Operations Order</vt:lpstr>
      <vt:lpstr>Cell References</vt:lpstr>
      <vt:lpstr>Absolute References</vt:lpstr>
      <vt:lpstr>Function Examples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Rooney</dc:creator>
  <cp:lastModifiedBy>Thomas Rooney</cp:lastModifiedBy>
  <dcterms:created xsi:type="dcterms:W3CDTF">2019-03-15T17:01:44Z</dcterms:created>
  <dcterms:modified xsi:type="dcterms:W3CDTF">2019-03-28T17:25:10Z</dcterms:modified>
</cp:coreProperties>
</file>